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autoCompressPictures="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0730" windowHeight="1116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8" i="6" l="1"/>
  <c r="C11" i="6"/>
  <c r="C10" i="6"/>
  <c r="C9"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G32" i="6" s="1"/>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F54" i="6" s="1"/>
  <c r="C14" i="6"/>
  <c r="B44" i="6"/>
  <c r="G44" i="6" s="1"/>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3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H37" i="6" l="1"/>
  <c r="D37" i="6" s="1"/>
  <c r="H50" i="6"/>
  <c r="D50" i="6" s="1"/>
  <c r="F34" i="6"/>
  <c r="F65" i="6"/>
  <c r="F44" i="6"/>
  <c r="H44" i="6" s="1"/>
  <c r="D44" i="6" s="1"/>
  <c r="F49" i="6"/>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C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26" i="6" l="1"/>
  <c r="C40" i="6"/>
  <c r="C50"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7" i="5"/>
  <c r="T14" i="5"/>
  <c r="T10" i="5"/>
  <c r="T9" i="5"/>
  <c r="T12" i="5"/>
  <c r="T13" i="5"/>
  <c r="T8" i="5"/>
  <c r="T16" i="5"/>
  <c r="T7" i="5"/>
  <c r="T15" i="5"/>
  <c r="T11" i="5"/>
  <c r="C68" i="6" l="1"/>
  <c r="X13" i="5"/>
  <c r="X10" i="5"/>
  <c r="D65" i="6"/>
  <c r="X9" i="5"/>
  <c r="X12" i="5"/>
  <c r="X14" i="5"/>
  <c r="X17" i="5"/>
  <c r="D66" i="6"/>
  <c r="C67" i="6"/>
  <c r="X11" i="5"/>
  <c r="X15" i="5"/>
  <c r="X8" i="5"/>
  <c r="X7" i="5"/>
  <c r="G69" i="6"/>
  <c r="H69" i="6" s="1"/>
  <c r="H70" i="6" s="1"/>
  <c r="D2" i="6" s="1"/>
  <c r="X16" i="5"/>
  <c r="D55" i="6"/>
  <c r="C55" i="6"/>
  <c r="D56" i="6"/>
  <c r="C56" i="6"/>
  <c r="S17" i="5"/>
  <c r="S13" i="5"/>
  <c r="S9" i="5"/>
  <c r="S16" i="5"/>
  <c r="S15" i="5"/>
  <c r="S7" i="5"/>
  <c r="S8" i="5"/>
  <c r="S14" i="5"/>
  <c r="S10" i="5"/>
  <c r="S12" i="5"/>
  <c r="S11"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<sst xmlns="http://schemas.openxmlformats.org/spreadsheetml/2006/main" count="21994" uniqueCount="15615">
  <si>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</si>
  <si>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</si>
  <si>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</si>
  <si>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</si>
  <si>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</si>
  <si>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</si>
  <si>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</si>
  <si>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</si>
  <si>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</si>
  <si>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</si>
  <si>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</si>
  <si>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</si>
  <si>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</si>
  <si>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</si>
  <si>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</si>
  <si>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</si>
  <si>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</si>
  <si>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</si>
  <si>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</si>
  <si>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</si>
  <si>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</si>
  <si>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</si>
  <si>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</si>
  <si>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</si>
  <si>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</si>
  <si>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</si>
  <si>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</si>
  <si>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</si>
  <si>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</si>
  <si>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</si>
  <si>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</si>
  <si>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</si>
  <si>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</si>
  <si>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</si>
  <si>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</si>
  <si>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</si>
  <si>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</si>
  <si>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</si>
  <si>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</si>
  <si>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</si>
  <si>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</si>
  <si>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</si>
  <si>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</si>
  <si>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</si>
  <si>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</si>
  <si>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</si>
  <si>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</si>
  <si>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</si>
  <si>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</si>
  <si>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</si>
  <si>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</si>
  <si>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</si>
  <si>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</si>
  <si>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</si>
  <si>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</si>
  <si>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</si>
  <si>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</si>
  <si>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</si>
  <si>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</si>
  <si>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</si>
  <si>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</si>
  <si>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</si>
  <si>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</si>
  <si>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</si>
  <si>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</si>
  <si>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</si>
  <si>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</si>
  <si>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</si>
  <si>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</si>
  <si>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</si>
  <si>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</si>
  <si>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</si>
  <si>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</si>
  <si>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</si>
  <si>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</si>
  <si>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</si>
  <si>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</si>
  <si>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</si>
  <si>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</si>
  <si>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</si>
  <si>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</si>
  <si>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</si>
  <si>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</si>
  <si>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</si>
  <si>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</si>
  <si>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</si>
  <si>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</si>
  <si>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</si>
  <si>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</si>
  <si>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</si>
  <si>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</si>
  <si>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</si>
  <si>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</si>
  <si>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</si>
  <si>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</si>
  <si>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</si>
  <si>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</si>
  <si>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</si>
  <si>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</si>
  <si>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</si>
  <si>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</si>
  <si>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</si>
  <si>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</si>
  <si>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</si>
  <si>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</si>
  <si>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</si>
  <si>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</si>
  <si>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</si>
  <si>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</si>
  <si>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</si>
  <si>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</si>
  <si>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</si>
  <si>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</si>
  <si>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</si>
  <si>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</si>
  <si>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</si>
  <si>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</si>
  <si>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</si>
  <si>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</si>
  <si>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</si>
  <si>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</si>
  <si>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</si>
  <si>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</si>
  <si>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</si>
  <si>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</si>
  <si>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</si>
  <si>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</si>
  <si>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</si>
  <si>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</si>
  <si>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</si>
  <si>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</si>
  <si>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</si>
  <si>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</si>
  <si>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</si>
  <si>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</si>
  <si>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</si>
  <si>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</si>
  <si>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</si>
  <si>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</si>
  <si>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</si>
  <si>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</si>
  <si>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</si>
  <si>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</si>
  <si>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</si>
  <si>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</si>
  <si>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</si>
  <si>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</si>
  <si>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</si>
  <si>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</si>
  <si>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</si>
  <si>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</si>
  <si>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</si>
  <si>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</si>
  <si>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</si>
  <si>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</si>
  <si>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</si>
  <si>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</si>
  <si>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</si>
  <si>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</si>
  <si>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</si>
  <si>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</si>
  <si>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</si>
  <si>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</si>
  <si>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</si>
  <si>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</si>
  <si>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</si>
  <si>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</si>
  <si>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</si>
  <si>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</si>
  <si>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</si>
  <si>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</si>
  <si>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</si>
  <si>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</si>
  <si>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</si>
  <si>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</si>
  <si>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</si>
  <si>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</si>
  <si>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</si>
  <si>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</si>
  <si>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</si>
  <si>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</si>
  <si>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</si>
  <si>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</si>
  <si>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</si>
  <si>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</si>
  <si>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</si>
  <si>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</si>
  <si>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</si>
  <si>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</si>
  <si>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</si>
  <si>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</si>
  <si>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</si>
  <si>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</si>
  <si>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</si>
  <si>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</si>
  <si>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</si>
  <si>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</si>
  <si>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</si>
  <si>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</si>
  <si>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</si>
  <si>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</si>
  <si>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</si>
  <si>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</si>
  <si>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</si>
  <si>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</si>
  <si>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</si>
  <si>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</si>
  <si>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</si>
  <si>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</si>
  <si>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</si>
  <si>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</si>
  <si>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</si>
  <si>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</si>
  <si>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</si>
  <si>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</si>
  <si>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</si>
  <si>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</si>
  <si>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</si>
  <si>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</si>
  <si>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</si>
  <si>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</si>
  <si>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</si>
  <si>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</si>
  <si>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</si>
  <si>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</si>
  <si>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</si>
  <si>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</si>
  <si>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</si>
  <si>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</si>
  <si>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</si>
  <si>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</si>
  <si>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</si>
  <si>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</si>
  <si>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</si>
  <si>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</si>
  <si>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</si>
  <si>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</si>
  <si>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</si>
  <si>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</si>
  <si>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</si>
  <si>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</si>
  <si>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</si>
  <si>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</si>
  <si>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</si>
  <si>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</si>
  <si>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</si>
  <si>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</si>
  <si>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</si>
  <si>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</si>
  <si>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</si>
  <si>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</si>
  <si>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</si>
  <si>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</si>
  <si>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</si>
  <si>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</si>
  <si>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</si>
  <si>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</si>
  <si>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</si>
  <si>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</si>
  <si>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</si>
  <si>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</si>
  <si>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</si>
  <si>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</si>
  <si>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</si>
  <si>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</si>
  <si>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</si>
  <si>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</si>
  <si>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</si>
  <si>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</si>
  <si>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</si>
  <si>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</si>
  <si>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</si>
  <si>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</si>
  <si>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</si>
  <si>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</si>
  <si>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</si>
  <si>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</si>
  <si>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</si>
  <si>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</si>
  <si>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</si>
  <si>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</si>
  <si>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</si>
  <si>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</si>
  <si>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</si>
  <si>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</si>
  <si>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</si>
  <si>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</si>
  <si>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</si>
  <si>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</si>
  <si>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</si>
  <si>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</si>
  <si>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</si>
  <si>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</si>
  <si>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</si>
  <si>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</si>
  <si>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</si>
  <si>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</si>
  <si>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</si>
  <si>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</si>
  <si>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</si>
  <si>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</si>
  <si>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</si>
  <si>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</si>
  <si>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</si>
  <si>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</si>
  <si>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</si>
  <si>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</si>
  <si>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</si>
  <si>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</si>
  <si>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</si>
  <si>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</si>
  <si>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</si>
  <si>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</si>
  <si>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</si>
  <si>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</si>
  <si>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</si>
  <si>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</si>
  <si>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</si>
  <si>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</si>
  <si>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</si>
  <si>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</si>
  <si>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</si>
  <si>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</si>
  <si>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</si>
  <si>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</si>
  <si>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</si>
  <si>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</si>
  <si>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</si>
  <si>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</si>
  <si>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</si>
  <si>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</si>
  <si>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</si>
  <si>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</si>
  <si>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</si>
  <si>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</si>
  <si>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</si>
  <si>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</si>
  <si>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</si>
  <si>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</si>
  <si>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</si>
  <si>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</si>
  <si>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</si>
  <si>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</si>
  <si>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</si>
  <si>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</si>
  <si>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</si>
  <si>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</si>
  <si>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</si>
  <si>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</si>
  <si>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</si>
  <si>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</si>
  <si>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</si>
  <si>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</si>
  <si>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</si>
  <si>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</si>
  <si>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</si>
  <si>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</si>
  <si>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</si>
  <si>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</si>
  <si>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</si>
  <si>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</si>
  <si>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</si>
  <si>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</si>
  <si>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</si>
  <si>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</si>
  <si>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</si>
  <si>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</si>
  <si>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</si>
  <si>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</si>
  <si>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</si>
  <si>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</si>
  <si>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</si>
  <si>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</si>
  <si>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</si>
  <si>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</si>
  <si>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</si>
  <si>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</si>
  <si>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</si>
  <si>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</si>
  <si>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</si>
  <si>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</si>
  <si>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</si>
  <si>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</si>
  <si>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</si>
  <si>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</si>
  <si>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</si>
  <si>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</si>
  <si>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</si>
  <si>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</si>
  <si>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</si>
  <si>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</si>
  <si>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</si>
  <si>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</si>
  <si>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</si>
  <si>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</si>
  <si>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</si>
  <si>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</si>
  <si>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</si>
  <si>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</si>
  <si>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</si>
  <si>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</si>
  <si>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</si>
  <si>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</si>
  <si>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</si>
  <si>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</si>
  <si>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</si>
  <si>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</si>
  <si>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</si>
  <si>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</si>
  <si>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</si>
  <si>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</si>
  <si>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</si>
  <si>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</si>
  <si>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</si>
  <si>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</si>
  <si>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</si>
  <si>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</si>
  <si>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</si>
  <si>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</si>
  <si>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</si>
  <si>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</si>
  <si>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</si>
  <si>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</si>
  <si>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</si>
  <si>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</si>
  <si>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</si>
  <si>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</si>
  <si>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</si>
  <si>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</si>
  <si>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</si>
  <si>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</si>
  <si>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</si>
  <si>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</si>
  <si>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</si>
  <si>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</si>
  <si>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</si>
  <si>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</si>
  <si>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</si>
  <si>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</si>
  <si>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</si>
  <si>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</si>
  <si>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</si>
  <si>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</si>
  <si>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</si>
  <si>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</si>
  <si>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</si>
  <si>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</si>
  <si>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</si>
  <si>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</si>
  <si>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</si>
  <si>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</si>
  <si>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</si>
  <si>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</si>
  <si>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</si>
  <si>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</si>
  <si>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</si>
  <si>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</si>
  <si>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</si>
  <si>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</si>
  <si>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</si>
  <si>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</si>
  <si>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</si>
  <si>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</si>
  <si>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</si>
  <si>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</si>
  <si>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</si>
  <si>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</si>
  <si>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</si>
  <si>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</si>
  <si>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</si>
  <si>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</si>
  <si>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</si>
  <si>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</si>
  <si>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</si>
  <si>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</si>
  <si>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</si>
  <si>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</si>
  <si>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</si>
  <si>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</si>
  <si>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</si>
  <si>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</si>
  <si>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</si>
  <si>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</si>
  <si>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</si>
  <si>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</si>
  <si>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</si>
  <si>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</si>
  <si>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</si>
  <si>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</si>
  <si>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</si>
  <si>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</si>
  <si>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</si>
  <si>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</si>
  <si>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</si>
  <si>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</si>
  <si>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</si>
  <si>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</si>
  <si>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</si>
  <si>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</si>
  <si>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</si>
  <si>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</si>
  <si>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</si>
  <si>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</si>
  <si>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</si>
  <si>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</si>
  <si>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</si>
  <si>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</si>
  <si>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</si>
  <si>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</si>
  <si>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</si>
  <si>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</si>
  <si>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</si>
  <si>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</si>
  <si>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</si>
  <si>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</si>
  <si>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</si>
  <si>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</si>
  <si>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</si>
  <si>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</si>
  <si>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</si>
  <si>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</si>
  <si>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</si>
  <si>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</si>
  <si>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</si>
  <si>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</si>
  <si>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</si>
  <si>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</si>
  <si>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</si>
  <si>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</si>
  <si>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</si>
  <si>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</si>
  <si>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</si>
  <si>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</si>
  <si>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</si>
  <si>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</si>
  <si>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</si>
  <si>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</si>
  <si>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</si>
  <si>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</si>
  <si>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</si>
  <si>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</si>
  <si>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</si>
  <si>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</si>
  <si>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</si>
  <si>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</si>
  <si>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</si>
  <si>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</si>
  <si>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</si>
  <si>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</si>
  <si>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</si>
  <si>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</si>
  <si>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</si>
  <si>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</si>
  <si>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</si>
  <si>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</si>
  <si>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</si>
  <si>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</si>
  <si>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</si>
  <si>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</si>
  <si>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</si>
  <si>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</si>
  <si>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</si>
  <si>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</si>
  <si>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</si>
  <si>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</si>
  <si>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</si>
  <si>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</si>
  <si>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</si>
  <si>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</si>
  <si>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</si>
  <si>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</si>
  <si>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</si>
  <si>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</si>
  <si>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</si>
  <si>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</si>
  <si>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</si>
  <si>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</si>
  <si>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</si>
  <si>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</si>
  <si>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</si>
  <si>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</si>
  <si>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</si>
  <si>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</si>
  <si>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</si>
  <si>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</si>
  <si>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</si>
  <si>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</si>
  <si>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</si>
  <si>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</si>
  <si>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</si>
  <si>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</si>
  <si>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</si>
  <si>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</si>
  <si>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</si>
  <si>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</si>
  <si>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</si>
  <si>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</si>
  <si>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</si>
  <si>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</si>
  <si>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</si>
  <si>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</si>
  <si>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</si>
  <si>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</si>
  <si>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</si>
  <si>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</si>
  <si>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</si>
  <si>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</si>
  <si>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</si>
  <si>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</si>
  <si>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</si>
  <si>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</si>
  <si>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</si>
  <si>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</si>
  <si>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</si>
  <si>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</si>
  <si>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</si>
  <si>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</si>
  <si>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</si>
  <si>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</si>
  <si>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</si>
  <si>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</si>
  <si>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</si>
  <si>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</si>
  <si>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</si>
  <si>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</si>
  <si>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</si>
  <si>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</si>
  <si>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</si>
  <si>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</si>
  <si>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</si>
  <si>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</si>
  <si>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</si>
  <si>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</si>
  <si>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</si>
  <si>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</si>
  <si>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</si>
  <si>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</si>
  <si>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</si>
  <si>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</si>
  <si>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</si>
  <si>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</si>
  <si>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</si>
  <si>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</si>
  <si>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</si>
  <si>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</si>
  <si>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</si>
  <si>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</si>
  <si>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</si>
  <si>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</si>
  <si>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</si>
  <si>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</si>
  <si>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</si>
  <si>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</si>
  <si>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</si>
  <si>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</si>
  <si>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</si>
  <si>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</si>
  <si>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</si>
  <si>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</si>
  <si>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</si>
  <si>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</si>
  <si>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</si>
  <si>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</si>
  <si>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</si>
  <si>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</si>
  <si>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</si>
  <si>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</si>
  <si>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</si>
  <si>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</si>
  <si>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</si>
  <si>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</si>
  <si>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</si>
  <si>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</si>
  <si>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</si>
  <si>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</si>
  <si>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</si>
  <si>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</si>
  <si>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</si>
  <si>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</si>
  <si>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</si>
  <si>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</si>
  <si>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</si>
  <si>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</si>
  <si>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</si>
  <si>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</si>
  <si>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</si>
  <si>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</si>
  <si>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</si>
  <si>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</si>
  <si>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</si>
  <si>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</si>
  <si>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</si>
  <si>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</si>
  <si>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</si>
  <si>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</si>
  <si>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</si>
  <si>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</si>
  <si>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</si>
  <si>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</si>
  <si>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</si>
  <si>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</si>
  <si>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</si>
  <si>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</si>
  <si>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</si>
  <si>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</si>
  <si>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</si>
  <si>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</si>
  <si>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</si>
  <si>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</si>
  <si>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</si>
  <si>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</si>
  <si>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</si>
  <si>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</si>
  <si>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</si>
  <si>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</si>
  <si>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</si>
  <si>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</si>
  <si>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</si>
  <si>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</si>
  <si>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</si>
  <si>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</si>
  <si>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</si>
  <si>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</si>
  <si>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</si>
  <si>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</si>
  <si>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</si>
  <si>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</si>
  <si>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</si>
  <si>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</si>
  <si>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</si>
  <si>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</si>
  <si>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</si>
  <si>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</si>
  <si>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</si>
  <si>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</si>
  <si>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</si>
  <si>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</si>
  <si>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</si>
  <si>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</si>
  <si>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</si>
  <si>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</si>
  <si>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</si>
  <si>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</si>
  <si>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</si>
  <si>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</si>
  <si>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</si>
  <si>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</si>
  <si>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</si>
  <si>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</si>
  <si>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</si>
  <si>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</si>
  <si>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</si>
  <si>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</si>
  <si>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</si>
  <si>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</si>
  <si>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</si>
  <si>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</si>
  <si>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</si>
  <si>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</si>
  <si>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</si>
  <si>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</si>
  <si>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</si>
  <si>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</si>
  <si>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</si>
  <si>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</si>
  <si>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</si>
  <si>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</si>
  <si>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</si>
  <si>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</si>
  <si>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</si>
  <si>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</si>
  <si>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</si>
  <si>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</si>
  <si>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</si>
  <si>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</si>
  <si>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</si>
  <si>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</si>
  <si>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</si>
  <si>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</si>
  <si>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</si>
  <si>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</si>
  <si>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</si>
  <si>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</si>
  <si>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</si>
  <si>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</si>
  <si>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</si>
  <si>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</si>
  <si>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</si>
  <si>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</si>
  <si>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</si>
  <si>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</si>
  <si>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</si>
  <si>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</si>
  <si>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</si>
  <si>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</si>
  <si>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</si>
  <si>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</si>
  <si>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</si>
  <si>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</si>
  <si>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</si>
  <si>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</si>
  <si>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</si>
  <si>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</si>
  <si>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</si>
  <si>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</si>
  <si>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</si>
  <si>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</si>
  <si>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</si>
  <si>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</si>
  <si>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</si>
  <si>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</si>
  <si>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</si>
  <si>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</si>
  <si>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</si>
  <si>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</si>
  <si>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</si>
  <si>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</si>
  <si>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</si>
  <si>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</si>
  <si>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</si>
  <si>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</si>
  <si>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</si>
  <si>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</si>
  <si>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</si>
  <si>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</si>
  <si>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</si>
  <si>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</si>
  <si>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</si>
  <si>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</si>
  <si>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</si>
  <si>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</si>
  <si>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</si>
  <si>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</si>
  <si>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</si>
  <si>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</si>
  <si>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</si>
  <si>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</si>
  <si>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</si>
  <si>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</si>
  <si>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</si>
  <si>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</si>
  <si>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</si>
  <si>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</si>
  <si>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</si>
  <si>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</si>
  <si>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</si>
  <si>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</si>
  <si>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</si>
  <si>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</si>
  <si>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</si>
  <si>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</si>
  <si>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</si>
  <si>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</si>
  <si>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</si>
  <si>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</si>
  <si>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</si>
  <si>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</si>
  <si>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</si>
  <si>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</si>
  <si>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</si>
  <si>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</si>
  <si>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</si>
  <si>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</si>
  <si>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</si>
  <si>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</si>
  <si>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</si>
  <si>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</si>
  <si>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</si>
  <si>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</si>
  <si>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</si>
  <si>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</si>
  <si>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</si>
  <si>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</si>
  <si>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</si>
  <si>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</si>
  <si>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</si>
  <si>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</si>
  <si>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</si>
  <si>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</si>
  <si>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</si>
  <si>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</si>
  <si>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</si>
  <si>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</si>
  <si>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</si>
  <si>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</si>
  <si>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</si>
  <si>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</si>
  <si>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</si>
  <si>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</si>
  <si>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</si>
  <si>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</si>
  <si>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</si>
  <si>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</si>
  <si>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</si>
  <si>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</si>
  <si>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</si>
  <si>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</si>
  <si>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</si>
  <si>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</si>
  <si>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</si>
  <si>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</si>
  <si>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</si>
  <si>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</si>
  <si>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</si>
  <si>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</si>
  <si>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</si>
  <si>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</si>
  <si>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</si>
  <si>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</si>
  <si>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</si>
  <si>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</si>
  <si>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</si>
  <si>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</si>
  <si>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</si>
  <si>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</si>
  <si>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</si>
  <si>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</si>
  <si>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</si>
  <si>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</si>
  <si>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</si>
  <si>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</si>
  <si>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</si>
  <si>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</si>
  <si>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</si>
  <si>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</si>
  <si>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</si>
  <si>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</si>
  <si>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</si>
  <si>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</si>
  <si>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</si>
  <si>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</si>
  <si>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</si>
  <si>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</si>
  <si>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</si>
  <si>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</si>
  <si>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</si>
  <si>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</si>
  <si>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</si>
  <si>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</si>
  <si>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</si>
  <si>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</si>
  <si>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</si>
  <si>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</si>
  <si>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</si>
  <si>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</si>
  <si>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</si>
  <si>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</si>
  <si>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</si>
  <si>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</si>
  <si>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</si>
  <si>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</si>
  <si>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</si>
  <si>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</si>
  <si>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</si>
  <si>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</si>
  <si>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</si>
  <si>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</si>
  <si>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</si>
  <si>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</si>
  <si>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</si>
  <si>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</si>
  <si>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</si>
  <si>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</si>
  <si>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</si>
  <si>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</si>
  <si>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</si>
  <si>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</si>
  <si>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</si>
  <si>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</si>
  <si>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</si>
  <si>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</si>
  <si>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</si>
  <si>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</si>
  <si>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</si>
  <si>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</si>
  <si>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</si>
  <si>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</si>
  <si>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</si>
  <si>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</si>
  <si>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</si>
  <si>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</si>
  <si>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</si>
  <si>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</si>
  <si>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</si>
  <si>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</si>
  <si>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</si>
  <si>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</si>
  <si>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</si>
  <si>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</si>
  <si>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</si>
  <si>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</si>
  <si>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</si>
  <si>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</si>
  <si>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</si>
  <si>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</si>
  <si>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</si>
  <si>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</si>
  <si>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</si>
  <si>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</si>
  <si>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</si>
  <si>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</si>
  <si>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</si>
  <si>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</si>
  <si>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</si>
  <si>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</si>
  <si>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</si>
  <si>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</si>
  <si>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</si>
  <si>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</si>
  <si>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</si>
  <si>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</si>
  <si>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</si>
  <si>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</si>
  <si>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</si>
  <si>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</si>
  <si>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</si>
  <si>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</si>
  <si>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</si>
  <si>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</si>
  <si>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</si>
  <si>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</si>
  <si>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</si>
  <si>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</si>
  <si>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</si>
  <si>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</si>
  <si>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</si>
  <si>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</si>
  <si>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</si>
  <si>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</si>
  <si>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</si>
  <si>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</si>
  <si>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</si>
  <si>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</si>
  <si>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</si>
  <si>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</si>
  <si>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</si>
  <si>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</si>
  <si>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</si>
  <si>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</si>
  <si>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</si>
  <si>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</si>
  <si>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</si>
  <si>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</si>
  <si>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</si>
  <si>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</si>
  <si>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</si>
  <si>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</si>
  <si>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</si>
  <si>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</si>
  <si>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</si>
  <si>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</si>
  <si>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</si>
  <si>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</si>
  <si>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</si>
  <si>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</si>
  <si>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</si>
  <si>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</si>
  <si>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</si>
  <si>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</si>
  <si>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</si>
  <si>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</si>
  <si>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</si>
  <si>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</si>
  <si>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</si>
  <si>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</si>
  <si>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</si>
  <si>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</si>
  <si>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</si>
  <si>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</si>
  <si>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</si>
  <si>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</si>
  <si>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</si>
  <si>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</si>
  <si>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</si>
  <si>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</si>
  <si>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</si>
  <si>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</si>
  <si>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</si>
  <si>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</si>
  <si>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</si>
  <si>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</si>
  <si>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</si>
  <si>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</si>
  <si>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</si>
  <si>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</si>
  <si>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</si>
  <si>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</si>
  <si>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</si>
  <si>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</si>
  <si>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</si>
  <si>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</si>
  <si>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</si>
  <si>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</si>
  <si>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</si>
  <si>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</si>
  <si>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</si>
  <si>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</si>
  <si>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</si>
  <si>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</si>
  <si>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</si>
  <si>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</si>
  <si>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</si>
  <si>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</si>
  <si>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</si>
  <si>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</si>
  <si>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</si>
  <si>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</si>
  <si>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</si>
  <si>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</si>
  <si>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</si>
  <si>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</si>
  <si>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</si>
  <si>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</si>
  <si>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</si>
  <si>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</si>
  <si>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</si>
  <si>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</si>
  <si>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</si>
  <si>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</si>
  <si>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</si>
  <si>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</si>
  <si>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</si>
  <si>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</si>
  <si>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</si>
  <si>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</si>
  <si>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</si>
  <si>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</si>
  <si>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</si>
  <si>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</si>
  <si>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</si>
  <si>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</si>
  <si>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</si>
  <si>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</si>
  <si>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</si>
  <si>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</si>
  <si>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</si>
  <si>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</si>
  <si>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</si>
  <si>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</si>
  <si>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</si>
  <si>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</si>
  <si>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</si>
  <si>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</si>
  <si>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</si>
  <si>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</si>
  <si>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</si>
  <si>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</si>
  <si>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</si>
  <si>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</si>
  <si>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</si>
  <si>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</si>
  <si>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</si>
  <si>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</si>
  <si>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</si>
  <si>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</si>
  <si>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</si>
  <si>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</si>
  <si>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</si>
  <si>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</si>
  <si>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</si>
  <si>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</si>
  <si>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</si>
  <si>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</si>
  <si>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</si>
  <si>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</si>
  <si>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</si>
  <si>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</si>
  <si>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</si>
  <si>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</si>
  <si>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</si>
  <si>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</si>
  <si>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</si>
  <si>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</si>
  <si>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</si>
  <si>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</si>
  <si>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</si>
  <si>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</si>
  <si>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</si>
  <si>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</si>
  <si>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</si>
  <si>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</si>
  <si>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</si>
  <si>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</si>
  <si>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</si>
  <si>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</si>
  <si>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</si>
  <si>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</si>
  <si>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</si>
  <si>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</si>
  <si>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</si>
  <si>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</si>
  <si>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</si>
  <si>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</si>
  <si>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</si>
  <si>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</si>
  <si>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</si>
  <si>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</si>
  <si>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</si>
  <si>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</si>
  <si>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</si>
  <si>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</si>
  <si>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</si>
  <si>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</si>
  <si>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</si>
  <si>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</si>
  <si>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</si>
  <si>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</si>
  <si>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</si>
  <si>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</si>
  <si>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</si>
  <si>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</si>
  <si>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</si>
  <si>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</si>
  <si>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</si>
  <si>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</si>
  <si>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</si>
  <si>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</si>
  <si>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</si>
  <si>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</si>
  <si>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</si>
  <si>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</si>
  <si>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</si>
  <si>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</si>
  <si>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</si>
  <si>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</si>
  <si>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</si>
  <si>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</si>
  <si>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</si>
  <si>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</si>
  <si>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</si>
  <si>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</si>
  <si>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</si>
  <si>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</si>
  <si>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</si>
  <si>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</si>
  <si>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</si>
  <si>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</si>
  <si>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</si>
  <si>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</si>
  <si>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</si>
  <si>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</si>
  <si>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</si>
  <si>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</si>
  <si>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</si>
  <si>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</si>
  <si>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</si>
  <si>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</si>
  <si>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</si>
  <si>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</si>
  <si>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</si>
  <si>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</si>
  <si>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</si>
  <si>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</si>
  <si>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</si>
  <si>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</si>
  <si>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</si>
  <si>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</si>
  <si>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</si>
  <si>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</si>
  <si>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</si>
  <si>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</si>
  <si>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</si>
  <si>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</si>
  <si>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</si>
  <si>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</si>
  <si>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</si>
  <si>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</si>
  <si>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</si>
  <si>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</si>
  <si>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</si>
  <si>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</si>
  <si>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</si>
  <si>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</si>
  <si>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</si>
  <si>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</si>
  <si>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</si>
  <si>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</si>
  <si>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</si>
  <si>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</si>
  <si>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</si>
  <si>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</si>
  <si>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</si>
  <si>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</si>
  <si>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</si>
  <si>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</si>
  <si>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</si>
  <si>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</si>
  <si>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</si>
  <si>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</si>
  <si>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</si>
  <si>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</si>
  <si>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</si>
  <si>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</si>
  <si>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</si>
  <si>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</si>
  <si>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</si>
  <si>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</si>
  <si>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</si>
  <si>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</si>
  <si>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</si>
  <si>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</si>
  <si>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</si>
  <si>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</si>
  <si>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</si>
  <si>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</si>
  <si>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</si>
  <si>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</si>
  <si>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</si>
  <si>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</si>
  <si>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</si>
  <si>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</si>
  <si>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</si>
  <si>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</si>
  <si>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</si>
  <si>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</si>
  <si>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</si>
  <si>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</si>
  <si>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</si>
  <si>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</si>
  <si>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</si>
  <si>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</si>
  <si>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</si>
  <si>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</si>
  <si>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</si>
  <si>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</si>
  <si>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</si>
  <si>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</si>
  <si>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</si>
  <si>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</si>
  <si>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</si>
  <si>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</si>
  <si>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</si>
  <si>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</si>
  <si>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</si>
  <si>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</si>
  <si>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</si>
  <si>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</si>
  <si>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</si>
  <si>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</si>
  <si>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</si>
  <si>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</si>
  <si>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</si>
  <si>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</si>
  <si>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</si>
  <si>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</si>
  <si>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</si>
  <si>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</si>
  <si>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</si>
  <si>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</si>
  <si>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</si>
  <si>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</si>
  <si>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</si>
  <si>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</si>
  <si>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</si>
  <si>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</si>
  <si>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</si>
  <si>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</si>
  <si>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</si>
  <si>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</si>
  <si>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</si>
  <si>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</si>
  <si>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</si>
  <si>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</si>
  <si>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</si>
  <si>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</si>
  <si>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</si>
  <si>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</si>
  <si>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</si>
  <si>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</si>
  <si>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</si>
  <si>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</si>
  <si>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</si>
  <si>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</si>
  <si>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</si>
  <si>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</si>
  <si>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</si>
  <si>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</si>
  <si>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</si>
  <si>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</si>
  <si>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</si>
  <si>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</si>
  <si>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</si>
  <si>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</si>
  <si>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</si>
  <si>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</si>
  <si>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</si>
  <si>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</si>
  <si>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</si>
  <si>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</si>
  <si>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</si>
  <si>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</si>
  <si>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</si>
  <si>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</si>
  <si>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</si>
  <si>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</si>
  <si>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</si>
  <si>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</si>
  <si>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</si>
  <si>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</si>
  <si>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</si>
  <si>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</si>
  <si>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</si>
  <si>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</si>
  <si>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</si>
  <si>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</si>
  <si>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</si>
  <si>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</si>
  <si>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</si>
  <si>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</si>
  <si>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</si>
  <si>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</si>
  <si>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</si>
  <si>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</si>
  <si>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</si>
  <si>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</si>
  <si>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</si>
  <si>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</si>
  <si>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</si>
  <si>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</si>
  <si>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</si>
  <si>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</si>
  <si>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</si>
  <si>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</si>
  <si>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</si>
  <si>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</si>
  <si>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</si>
  <si>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</si>
  <si>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</si>
  <si>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</si>
  <si>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</si>
  <si>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</si>
  <si>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</si>
  <si>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</si>
  <si>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</si>
  <si>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</si>
  <si>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</si>
  <si>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</si>
  <si>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</si>
  <si>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</si>
  <si>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</si>
  <si>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</si>
  <si>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</si>
  <si>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</si>
  <si>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</si>
  <si>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</si>
  <si>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</si>
  <si>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</si>
  <si>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</si>
  <si>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</si>
  <si>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</si>
  <si>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</si>
  <si>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</si>
  <si>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</si>
  <si>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</si>
  <si>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</si>
  <si>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</si>
  <si>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</si>
  <si>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</si>
  <si>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</si>
  <si>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</si>
  <si>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</si>
  <si>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</si>
  <si>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</si>
  <si>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</si>
  <si>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</si>
  <si>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</si>
  <si>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</si>
  <si>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</si>
  <si>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</si>
  <si>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</si>
  <si>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</si>
  <si>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</si>
  <si>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</si>
  <si>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</si>
  <si>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</si>
  <si>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</si>
  <si>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</si>
  <si>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</si>
  <si>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</si>
  <si>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</si>
  <si>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</si>
  <si>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</si>
  <si>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</si>
  <si>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</si>
  <si>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</si>
  <si>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</si>
  <si>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</si>
  <si>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</si>
  <si>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</si>
  <si>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</si>
  <si>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</si>
  <si>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</si>
  <si>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</si>
  <si>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</si>
  <si>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</si>
  <si>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</si>
  <si>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</si>
  <si>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</si>
  <si>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</si>
  <si>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</si>
  <si>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</si>
  <si>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</si>
  <si>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</si>
  <si>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</si>
  <si>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</si>
  <si>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</si>
  <si>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</si>
  <si>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</si>
  <si>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</si>
  <si>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</si>
  <si>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</si>
  <si>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</si>
  <si>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</si>
  <si>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</si>
  <si>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</si>
  <si>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</si>
  <si>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</si>
  <si>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</si>
  <si>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</si>
  <si>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</si>
  <si>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</si>
  <si>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</si>
  <si>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</si>
  <si>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</si>
  <si>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</si>
  <si>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</si>
  <si>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</si>
  <si>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</si>
  <si>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</si>
  <si>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</si>
  <si>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</si>
  <si>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</si>
  <si>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</si>
  <si>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</si>
  <si>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</si>
  <si>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</si>
  <si>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</si>
  <si>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</si>
  <si>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</si>
  <si>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</si>
  <si>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</si>
  <si>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</si>
  <si>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</si>
  <si>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</si>
  <si>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</si>
  <si>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</si>
  <si>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</si>
  <si>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</si>
  <si>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</si>
  <si>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</si>
  <si>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</si>
  <si>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</si>
  <si>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</si>
  <si>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</si>
  <si>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</si>
  <si>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</si>
  <si>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</si>
  <si>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</si>
  <si>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</si>
  <si>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</si>
  <si>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</si>
  <si>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</si>
  <si>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</si>
  <si>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</si>
  <si>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</si>
  <si>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</si>
  <si>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</si>
  <si>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</si>
  <si>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</si>
  <si>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</si>
  <si>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</si>
  <si>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</si>
  <si>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</si>
  <si>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</si>
  <si>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</si>
  <si>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</si>
  <si>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</si>
  <si>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</si>
  <si>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</si>
  <si>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</si>
  <si>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</si>
  <si>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</si>
  <si>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</si>
  <si>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</si>
  <si>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</si>
  <si>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</si>
  <si>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</si>
  <si>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</si>
  <si>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</si>
  <si>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</si>
  <si>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</si>
  <si>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</si>
  <si>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</si>
  <si>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</si>
  <si>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</si>
  <si>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</si>
  <si>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</si>
  <si>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</si>
  <si>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</si>
  <si>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</si>
  <si>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</si>
  <si>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</si>
  <si>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</si>
  <si>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</si>
  <si>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</si>
  <si>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</si>
  <si>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</si>
  <si>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</si>
  <si>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</si>
  <si>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</si>
  <si>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</si>
  <si>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</si>
  <si>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</si>
  <si>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</si>
  <si>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</si>
  <si>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</si>
  <si>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</si>
  <si>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</si>
  <si>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</si>
  <si>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</si>
  <si>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</si>
  <si>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</si>
  <si>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</si>
  <si>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</si>
  <si>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</si>
  <si>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</si>
  <si>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</si>
  <si>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</si>
  <si>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</si>
  <si>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</si>
  <si>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</si>
  <si>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</si>
  <si>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</si>
  <si>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</si>
  <si>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</si>
  <si>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</si>
  <si>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</si>
  <si>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</si>
  <si>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</si>
  <si>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</si>
  <si>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</si>
  <si>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</si>
  <si>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</si>
  <si>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</si>
  <si>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</si>
  <si>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</si>
  <si>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</si>
  <si>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</si>
  <si>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</si>
  <si>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</si>
  <si>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</si>
  <si>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</si>
  <si>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</si>
  <si>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</si>
  <si>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</si>
  <si>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</si>
  <si>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</si>
  <si>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</si>
  <si>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</si>
  <si>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</si>
  <si>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</si>
  <si>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</si>
  <si>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</si>
  <si>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</si>
  <si>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</si>
  <si>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</si>
  <si>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</si>
  <si>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</si>
  <si>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</si>
  <si>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</si>
  <si>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</si>
  <si>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</si>
  <si>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</si>
  <si>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</si>
  <si>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</si>
  <si>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</si>
  <si>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</si>
  <si>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</si>
  <si>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</si>
  <si>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</si>
  <si>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</si>
  <si>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</si>
  <si>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</si>
  <si>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</si>
  <si>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</si>
  <si>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</si>
  <si>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</si>
  <si>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</si>
  <si>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</si>
  <si>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</si>
  <si>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</si>
  <si>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</si>
  <si>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</si>
  <si>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</si>
  <si>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</si>
  <si>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</si>
  <si>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</si>
  <si>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</si>
  <si>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</si>
  <si>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</si>
  <si>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</si>
  <si>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</si>
  <si>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</si>
  <si>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</si>
  <si>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</si>
  <si>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</si>
  <si>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</si>
  <si>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</si>
  <si>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</si>
  <si>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</si>
  <si>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</si>
  <si>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</si>
  <si>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</si>
  <si>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</si>
  <si>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</si>
  <si>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</si>
  <si>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</si>
  <si>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</si>
  <si>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</si>
  <si>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</si>
  <si>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</si>
  <si>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</si>
  <si>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</si>
  <si>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</si>
  <si>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</si>
  <si>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</si>
  <si>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</si>
  <si>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</si>
  <si>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</si>
  <si>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</si>
  <si>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</si>
  <si>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</si>
  <si>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</si>
  <si>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</si>
  <si>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</si>
  <si>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</si>
  <si>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</si>
  <si>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</si>
  <si>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</si>
  <si>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</si>
  <si>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</si>
  <si>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</si>
  <si>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</si>
  <si>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</si>
  <si>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</si>
  <si>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</si>
  <si>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</si>
  <si>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</si>
  <si>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</si>
  <si>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</si>
  <si>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</si>
  <si>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</si>
  <si>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</si>
  <si>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</si>
  <si>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</si>
  <si>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</si>
  <si>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</si>
  <si>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</si>
  <si>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</si>
  <si>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</si>
  <si>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</si>
  <si>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</si>
  <si>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</si>
  <si>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</si>
  <si>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</si>
  <si>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</si>
  <si>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</si>
  <si>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</si>
  <si>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</si>
  <si>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</si>
  <si>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</si>
  <si>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</si>
  <si>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</si>
  <si>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</si>
  <si>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</si>
  <si>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</si>
  <si>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</si>
  <si>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</si>
  <si>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</si>
  <si>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</si>
  <si>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</si>
  <si>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</si>
  <si>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</si>
  <si>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</si>
  <si>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</si>
  <si>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</si>
  <si>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</si>
  <si>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</si>
  <si>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</si>
  <si>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</si>
  <si>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</si>
  <si>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</si>
  <si>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</si>
  <si>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</si>
  <si>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</si>
  <si>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</si>
  <si>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</si>
  <si>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</si>
  <si>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</si>
  <si>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</si>
  <si>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</si>
  <si>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</si>
  <si>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</si>
  <si>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</si>
  <si>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</si>
  <si>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</si>
  <si>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</si>
  <si>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</si>
  <si>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</si>
  <si>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</si>
  <si>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</si>
  <si>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</si>
  <si>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</si>
  <si>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</si>
  <si>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</si>
  <si>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</si>
  <si>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</si>
  <si>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</si>
  <si>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</si>
  <si>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</si>
  <si>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</si>
  <si>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</si>
  <si>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</si>
  <si>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</si>
  <si>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</si>
  <si>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</si>
  <si>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</si>
  <si>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</si>
  <si>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</si>
  <si>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</si>
  <si>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</si>
  <si>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</si>
  <si>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</si>
  <si>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</si>
  <si>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</si>
  <si>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</si>
  <si>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</si>
  <si>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</si>
  <si>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</si>
  <si>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</si>
  <si>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</si>
  <si>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</si>
  <si>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</si>
  <si>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</si>
  <si>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</si>
  <si>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</si>
  <si>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</si>
  <si>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</si>
  <si>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</si>
  <si>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</si>
  <si>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</si>
  <si>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</si>
  <si>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</si>
  <si>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</si>
  <si>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</si>
  <si>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</si>
  <si>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</si>
  <si>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</si>
  <si>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</si>
  <si>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</si>
  <si>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</si>
  <si>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</si>
  <si>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</si>
  <si>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</si>
  <si>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</si>
  <si>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</si>
  <si>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</si>
  <si>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</si>
  <si>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</si>
  <si>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</si>
  <si>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</si>
  <si>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</si>
  <si>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</si>
  <si>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</si>
  <si>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</si>
  <si>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</si>
  <si>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</si>
  <si>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</si>
  <si>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</si>
  <si>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</si>
  <si>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</si>
  <si>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</si>
  <si>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</si>
  <si>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</si>
  <si>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</si>
  <si>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</si>
  <si>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</si>
  <si>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</si>
  <si>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</si>
  <si>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</si>
  <si>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</si>
  <si>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</si>
  <si>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</si>
  <si>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</si>
  <si>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</si>
  <si>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</si>
  <si>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</si>
  <si>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</si>
  <si>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</si>
  <si>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</si>
  <si>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</si>
  <si>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</si>
  <si>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</si>
  <si>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</si>
  <si>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</si>
  <si>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</si>
  <si>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</si>
  <si>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</si>
  <si>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</si>
  <si>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</si>
  <si>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</si>
  <si>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</si>
  <si>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</si>
  <si>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</si>
  <si>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</si>
  <si>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</si>
  <si>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</si>
  <si>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</si>
  <si>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</si>
  <si>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</si>
  <si>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</si>
  <si>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</si>
  <si>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</si>
  <si>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</si>
  <si>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</si>
  <si>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</si>
  <si>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</si>
  <si>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</si>
  <si>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</si>
  <si>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</si>
  <si>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</si>
  <si>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</si>
  <si>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</si>
  <si>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</si>
  <si>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</si>
  <si>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</si>
  <si>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</si>
  <si>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</si>
  <si>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</si>
  <si>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</si>
  <si>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</si>
  <si>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</si>
  <si>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</si>
  <si>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</si>
  <si>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</si>
  <si>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</si>
  <si>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</si>
  <si>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</si>
  <si>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</si>
  <si>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</si>
  <si>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</si>
  <si>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</si>
  <si>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</si>
  <si>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</si>
  <si>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</si>
  <si>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</si>
  <si>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</si>
  <si>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</si>
  <si>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</si>
  <si>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</si>
  <si>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</si>
  <si>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</si>
  <si>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</si>
  <si>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</si>
  <si>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</si>
  <si>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</si>
  <si>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</si>
  <si>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</si>
  <si>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</si>
  <si>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</si>
  <si>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</si>
  <si>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</si>
  <si>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</si>
  <si>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</si>
  <si>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</si>
  <si>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</si>
  <si>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</si>
  <si>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</si>
  <si>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</si>
  <si>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</si>
  <si>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</si>
  <si>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</si>
  <si>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</si>
  <si>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</si>
  <si>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</si>
  <si>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</si>
  <si>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</si>
  <si>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</si>
  <si>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</si>
  <si>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</si>
  <si>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</si>
  <si>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</si>
  <si>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</si>
  <si>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</si>
  <si>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</si>
  <si>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</si>
  <si>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</si>
  <si>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</si>
  <si>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</si>
  <si>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</si>
  <si>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</si>
  <si>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</si>
  <si>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</si>
  <si>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</si>
  <si>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</si>
  <si>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</si>
  <si>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</si>
  <si>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</si>
  <si>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</si>
  <si>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</si>
  <si>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</si>
  <si>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</si>
  <si>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</si>
  <si>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</si>
  <si>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</si>
  <si>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</si>
  <si>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</si>
  <si>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</si>
  <si>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</si>
  <si>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</si>
  <si>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</si>
  <si>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</si>
  <si>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</si>
  <si>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</si>
  <si>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</si>
  <si>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</si>
  <si>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</si>
  <si>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</si>
  <si>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</si>
  <si>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</si>
  <si>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</si>
  <si>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</si>
  <si>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</si>
  <si>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</si>
  <si>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</si>
  <si>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</si>
  <si>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</si>
  <si>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</si>
  <si>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</si>
  <si>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</si>
  <si>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</si>
  <si>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</si>
  <si>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</si>
  <si>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</si>
  <si>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</si>
  <si>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</si>
  <si>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</si>
  <si>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</si>
  <si>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</si>
  <si>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</si>
  <si>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</si>
  <si>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</si>
  <si>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</si>
  <si>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</si>
  <si>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</si>
  <si>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</si>
  <si>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</si>
  <si>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</si>
  <si>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</si>
  <si>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</si>
  <si>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</si>
  <si>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</si>
  <si>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</si>
  <si>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</si>
  <si>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</si>
  <si>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</si>
  <si>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</si>
  <si>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</si>
  <si>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</si>
  <si>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</si>
  <si>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</si>
  <si>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</si>
  <si>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</si>
  <si>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</si>
  <si>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</si>
  <si>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</si>
  <si>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</si>
  <si>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</si>
  <si>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</si>
  <si>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</si>
  <si>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</si>
  <si>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</si>
  <si>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</si>
  <si>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</si>
  <si>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</si>
  <si>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</si>
  <si>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</si>
  <si>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</si>
  <si>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</si>
  <si>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</si>
  <si>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</si>
  <si>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</si>
  <si>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</si>
  <si>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</si>
  <si>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</si>
  <si>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</si>
  <si>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</si>
  <si>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</si>
  <si>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</si>
  <si>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</si>
  <si>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</si>
  <si>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</si>
  <si>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</si>
  <si>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</si>
  <si>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</si>
  <si>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</si>
  <si>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</si>
  <si>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</si>
  <si>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</si>
  <si>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</si>
  <si>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</si>
  <si>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</si>
  <si>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</si>
  <si>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</si>
  <si>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</si>
  <si>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</si>
  <si>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</si>
  <si>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</si>
  <si>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</si>
  <si>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</si>
  <si>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</si>
  <si>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</si>
  <si>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</si>
  <si>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</si>
  <si>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</si>
  <si>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</si>
  <si>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</si>
  <si>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</si>
  <si>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</si>
  <si>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</si>
  <si>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</si>
  <si>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</si>
  <si>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</si>
  <si>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</si>
  <si>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</si>
  <si>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</si>
  <si>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</si>
  <si>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</si>
  <si>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</si>
  <si>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</si>
  <si>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</si>
  <si>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</si>
  <si>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</si>
  <si>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</si>
  <si>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</si>
  <si>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</si>
  <si>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</si>
  <si>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</si>
  <si>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</si>
  <si>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</si>
  <si>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</si>
  <si>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</si>
  <si>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</si>
  <si>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</si>
  <si>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</si>
  <si>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</si>
  <si>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</si>
  <si>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</si>
  <si>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</si>
  <si>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</si>
  <si>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</si>
  <si>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</si>
  <si>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</si>
  <si>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</si>
  <si>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</si>
  <si>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</si>
  <si>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</si>
  <si>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</si>
  <si>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</si>
  <si>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</si>
  <si>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</si>
  <si>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</si>
  <si>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</si>
  <si>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</si>
  <si>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</si>
  <si>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</si>
  <si>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</si>
  <si>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</si>
  <si>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</si>
  <si>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</si>
  <si>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</si>
  <si>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</si>
  <si>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</si>
  <si>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</si>
  <si>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</si>
  <si>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</si>
  <si>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</si>
  <si>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</si>
  <si>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</si>
  <si>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</si>
  <si>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</si>
  <si>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</si>
  <si>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</si>
  <si>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</si>
  <si>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</si>
  <si>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</si>
  <si>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</si>
  <si>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</si>
  <si>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</si>
  <si>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</si>
  <si>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</si>
  <si>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</si>
  <si>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</si>
  <si>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</si>
  <si>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</si>
  <si>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</si>
  <si>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</si>
  <si>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</si>
  <si>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</si>
  <si>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</si>
  <si>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</si>
  <si>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</si>
  <si>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</si>
  <si>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</si>
  <si>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</si>
  <si>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</si>
  <si>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</si>
  <si>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</si>
  <si>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</si>
  <si>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</si>
  <si>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</si>
  <si>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</si>
  <si>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</si>
  <si>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</si>
  <si>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</si>
  <si>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</si>
  <si>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</si>
  <si>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</si>
  <si>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</si>
  <si>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</si>
  <si>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</si>
  <si>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</si>
  <si>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</si>
  <si>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</si>
  <si>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</si>
  <si>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</si>
  <si>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</si>
  <si>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</si>
  <si>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</si>
  <si>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</si>
  <si>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</si>
  <si>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</si>
  <si>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</si>
  <si>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</si>
  <si>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</si>
  <si>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</si>
  <si>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</si>
  <si>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</si>
  <si>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</si>
  <si>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</si>
  <si>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</si>
  <si>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</si>
  <si>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</si>
  <si>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</si>
  <si>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</si>
  <si>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</si>
  <si>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</si>
  <si>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</si>
  <si>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</si>
  <si>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</si>
  <si>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</si>
  <si>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</si>
  <si>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</si>
  <si>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</si>
  <si>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</si>
  <si>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</si>
  <si>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</si>
  <si>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</si>
  <si>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</si>
  <si>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</si>
  <si>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</si>
  <si>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</si>
  <si>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</si>
  <si>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</si>
  <si>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</si>
  <si>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</si>
  <si>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</si>
  <si>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</si>
  <si>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</si>
  <si>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</si>
  <si>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</si>
  <si>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</si>
  <si>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</si>
  <si>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</si>
  <si>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</si>
  <si>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</si>
  <si>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</si>
  <si>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</si>
  <si>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</si>
  <si>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</si>
  <si>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</si>
  <si>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</si>
  <si>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</si>
  <si>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</si>
  <si>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</si>
  <si>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</si>
  <si>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</si>
  <si>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</si>
  <si>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</si>
  <si>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</si>
  <si>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</si>
  <si>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</si>
  <si>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</si>
  <si>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</si>
  <si>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</si>
  <si>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</si>
  <si>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</si>
  <si>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</si>
  <si>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</si>
  <si>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</si>
  <si>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</si>
  <si>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</si>
  <si>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</si>
  <si>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</si>
  <si>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</si>
  <si>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</si>
  <si>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</si>
  <si>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</si>
  <si>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</si>
  <si>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</si>
  <si>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</si>
  <si>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</si>
  <si>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</si>
  <si>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</si>
  <si>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</si>
  <si>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</si>
  <si>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</si>
  <si>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</si>
  <si>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</si>
  <si>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</si>
  <si>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</si>
  <si>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</si>
  <si>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</si>
  <si>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</si>
  <si>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</si>
  <si>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</si>
  <si>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</si>
  <si>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</si>
  <si>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</si>
  <si>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</si>
  <si>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</si>
  <si>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</si>
  <si>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</si>
  <si>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</si>
  <si>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</si>
  <si>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</si>
  <si>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</si>
  <si>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</si>
  <si>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</si>
  <si>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</si>
  <si>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</si>
  <si>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</si>
  <si>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</si>
  <si>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</si>
  <si>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</si>
  <si>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</si>
  <si>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</si>
  <si>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</si>
  <si>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</si>
  <si>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</si>
  <si>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</si>
  <si>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</si>
  <si>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</si>
  <si>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</si>
  <si>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</si>
  <si>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</si>
  <si>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</si>
  <si>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</si>
  <si>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</si>
  <si>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</si>
  <si>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</si>
  <si>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</si>
  <si>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</si>
  <si>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</si>
  <si>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</si>
  <si>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</si>
  <si>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</si>
  <si>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</si>
  <si>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</si>
  <si>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</si>
  <si>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</si>
  <si>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</si>
  <si>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</si>
  <si>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</si>
  <si>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</si>
  <si>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</si>
  <si>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</si>
  <si>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</si>
  <si>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</si>
  <si>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</si>
  <si>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</si>
  <si>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</si>
  <si>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</si>
  <si>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</si>
  <si>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</si>
  <si>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</si>
  <si>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</si>
  <si>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</si>
  <si>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</si>
  <si>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</si>
  <si>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</si>
  <si>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</si>
  <si>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</si>
  <si>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</si>
  <si>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</si>
  <si>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</si>
  <si>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</si>
  <si>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</si>
  <si>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</si>
  <si>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</si>
  <si>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</si>
  <si>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</si>
  <si>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</si>
  <si>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</si>
  <si>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</si>
  <si>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</si>
  <si>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</si>
  <si>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</si>
  <si>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</si>
  <si>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</si>
  <si>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</si>
  <si>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</si>
  <si>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</si>
  <si>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</si>
  <si>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</si>
  <si>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</si>
  <si>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</si>
  <si>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</si>
  <si>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</si>
  <si>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</si>
  <si>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</si>
  <si>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</si>
  <si>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</si>
  <si>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</si>
  <si>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</si>
  <si>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</si>
  <si>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</si>
  <si>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</si>
  <si>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</si>
  <si>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</si>
  <si>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</si>
  <si>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</si>
  <si>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</si>
  <si>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</si>
  <si>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</si>
  <si>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</si>
  <si>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</si>
  <si>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</si>
  <si>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</si>
  <si>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</si>
  <si>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</si>
  <si>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</si>
  <si>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</si>
  <si>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</si>
  <si>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</si>
  <si>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</si>
  <si>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</si>
  <si>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</si>
  <si>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</si>
  <si>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</si>
  <si>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</si>
  <si>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</si>
  <si>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</si>
  <si>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</si>
  <si>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</si>
  <si>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</si>
  <si>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</si>
  <si>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</si>
  <si>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</si>
  <si>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</si>
  <si>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</si>
  <si>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</si>
  <si>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</si>
  <si>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</si>
  <si>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</si>
  <si>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</si>
  <si>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</si>
  <si>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</si>
  <si>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</si>
  <si>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</si>
  <si>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</si>
  <si>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</si>
  <si>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</si>
  <si>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</si>
  <si>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</si>
  <si>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</si>
  <si>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</si>
  <si>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</si>
  <si>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</si>
  <si>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</si>
  <si>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</si>
  <si>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</si>
  <si>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</si>
  <si>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</si>
  <si>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</si>
  <si>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</si>
  <si>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</si>
  <si>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</si>
  <si>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</si>
  <si>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</si>
  <si>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</si>
  <si>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</si>
  <si>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</si>
  <si>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</si>
  <si>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</si>
  <si>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</si>
  <si>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</si>
  <si>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</si>
  <si>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</si>
  <si>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</si>
  <si>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</si>
  <si>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</si>
  <si>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</si>
  <si>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</si>
  <si>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</si>
  <si>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</si>
  <si>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</si>
  <si>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</si>
  <si>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</si>
  <si>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</si>
  <si>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</si>
  <si>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</si>
  <si>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</si>
  <si>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</si>
  <si>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</si>
  <si>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</si>
  <si>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</si>
  <si>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</si>
  <si>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</si>
  <si>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</si>
  <si>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</si>
  <si>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</si>
  <si>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</si>
  <si>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</si>
  <si>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</si>
  <si>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</si>
  <si>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</si>
  <si>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</si>
  <si>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</si>
  <si>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</si>
  <si>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</si>
  <si>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</si>
  <si>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</si>
  <si>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</si>
  <si>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</si>
  <si>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</si>
  <si>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</si>
  <si>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</si>
  <si>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</si>
  <si>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</si>
  <si>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</si>
  <si>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</si>
  <si>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</si>
  <si>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</si>
  <si>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</si>
  <si>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</si>
  <si>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</si>
  <si>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</si>
  <si>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</si>
  <si>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</si>
  <si>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</si>
  <si>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</si>
  <si>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</si>
  <si>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</si>
  <si>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</si>
  <si>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</si>
  <si>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</si>
  <si>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</si>
  <si>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</si>
  <si>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</si>
  <si>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</si>
  <si>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</si>
  <si>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</si>
  <si>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</si>
  <si>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</si>
  <si>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</si>
  <si>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</si>
  <si>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</si>
  <si>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</si>
  <si>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</si>
  <si>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</si>
  <si>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</si>
  <si>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</si>
  <si>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</si>
  <si>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</si>
  <si>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</si>
  <si>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</si>
  <si>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</si>
  <si>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</si>
  <si>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</si>
  <si>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</si>
  <si>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</si>
  <si>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</si>
  <si>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</si>
  <si>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</si>
  <si>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</si>
  <si>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</si>
  <si>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</si>
  <si>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</si>
  <si>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</si>
  <si>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</si>
  <si>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</si>
  <si>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</si>
  <si>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</si>
  <si>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</si>
  <si>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</si>
  <si>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</si>
  <si>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</si>
  <si>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</si>
  <si>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</si>
  <si>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</si>
  <si>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</si>
  <si>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</si>
  <si>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</si>
  <si>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</si>
  <si>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</si>
  <si>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</si>
  <si>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</si>
  <si>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</si>
  <si>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</si>
  <si>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</si>
  <si>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</si>
  <si>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</si>
  <si>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</si>
  <si>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</si>
  <si>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</si>
  <si>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</si>
  <si>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</si>
  <si>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</si>
  <si>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</si>
  <si>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</si>
  <si>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</si>
  <si>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</si>
  <si>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</si>
  <si>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</si>
  <si>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</si>
  <si>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</si>
  <si>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</si>
  <si>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</si>
  <si>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</si>
  <si>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</si>
  <si>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</si>
  <si>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</si>
  <si>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</si>
  <si>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</si>
  <si>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</si>
  <si>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</si>
  <si>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</si>
  <si>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</si>
  <si>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</si>
  <si>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</si>
  <si>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</si>
  <si>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</si>
  <si>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</si>
  <si>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</si>
  <si>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</si>
  <si>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</si>
  <si>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</si>
  <si>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</si>
  <si>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</si>
  <si>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</si>
  <si>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</si>
  <si>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</si>
  <si>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</si>
  <si>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</si>
  <si>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</si>
  <si>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</si>
  <si>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</si>
  <si>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</si>
  <si>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</si>
  <si>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</si>
  <si>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</si>
  <si>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</si>
  <si>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</si>
  <si>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</si>
  <si>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</si>
  <si>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</si>
  <si>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</si>
  <si>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</si>
  <si>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</si>
  <si>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</si>
  <si>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</si>
  <si>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</si>
  <si>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</si>
  <si>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</si>
  <si>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</si>
  <si>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</si>
  <si>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</si>
  <si>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</si>
  <si>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</si>
  <si>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</si>
  <si>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</si>
  <si>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</si>
  <si>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</si>
  <si>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</si>
  <si>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</si>
  <si>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</si>
  <si>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</si>
  <si>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</si>
  <si>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</si>
  <si>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</si>
  <si>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</si>
  <si>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</si>
  <si>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</si>
  <si>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</si>
  <si>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</si>
  <si>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</si>
  <si>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</si>
  <si>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</si>
  <si>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</si>
  <si>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</si>
  <si>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</si>
  <si>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</si>
  <si>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</si>
  <si>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</si>
  <si>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</si>
  <si>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</si>
  <si>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</si>
  <si>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</si>
  <si>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</si>
  <si>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</si>
  <si>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</si>
  <si>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</si>
  <si>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</si>
  <si>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</si>
  <si>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</si>
  <si>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</si>
  <si>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</si>
  <si>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</si>
  <si>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</si>
  <si>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</si>
  <si>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</si>
  <si>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</si>
  <si>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</si>
  <si>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</si>
  <si>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</si>
  <si>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</si>
  <si>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</si>
  <si>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</si>
  <si>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</si>
  <si>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</si>
  <si>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</si>
  <si>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</si>
  <si>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</si>
  <si>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</si>
  <si>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</si>
  <si>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</si>
  <si>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</si>
  <si>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</si>
  <si>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</si>
  <si>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</si>
  <si>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</si>
  <si>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</si>
  <si>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</si>
  <si>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</si>
  <si>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</si>
  <si>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</si>
  <si>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</si>
  <si>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</si>
  <si>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</si>
  <si>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</si>
  <si>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</si>
  <si>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</si>
  <si>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</si>
  <si>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</si>
  <si>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</si>
  <si>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</si>
  <si>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</si>
  <si>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</si>
  <si>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</si>
  <si>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</si>
  <si>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</si>
  <si>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</si>
  <si>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</si>
  <si>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</si>
  <si>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</si>
  <si>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</si>
  <si>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</si>
  <si>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</si>
  <si>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</si>
  <si>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</si>
  <si>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</si>
  <si>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</si>
  <si>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</si>
  <si>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</si>
  <si>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</si>
  <si>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</si>
  <si>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</si>
  <si>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</si>
  <si>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</si>
  <si>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</si>
  <si>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</si>
  <si>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</si>
  <si>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</si>
  <si>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</si>
  <si>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</si>
  <si>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</si>
  <si>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</si>
  <si>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</si>
  <si>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</si>
  <si>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</si>
  <si>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</si>
  <si>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</si>
  <si>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</si>
  <si>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</si>
  <si>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</si>
  <si>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</si>
  <si>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</si>
  <si>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</si>
  <si>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</si>
  <si>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</si>
  <si>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</si>
  <si>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</si>
  <si>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</si>
  <si>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</si>
  <si>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</si>
  <si>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</si>
  <si>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</si>
  <si>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</si>
  <si>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</si>
  <si>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</si>
  <si>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</si>
  <si>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</si>
  <si>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</si>
  <si>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</si>
  <si>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</si>
  <si>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</si>
  <si>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</si>
  <si>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</si>
  <si>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</si>
  <si>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</si>
  <si>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</si>
  <si>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</si>
  <si>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</si>
  <si>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</si>
  <si>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</si>
  <si>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</si>
  <si>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</si>
  <si>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</si>
  <si>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</si>
  <si>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</si>
  <si>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</si>
  <si>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</si>
  <si>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</si>
  <si>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</si>
  <si>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</si>
  <si>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</si>
  <si>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</si>
  <si>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</si>
  <si>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</si>
  <si>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</si>
  <si>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</si>
  <si>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</si>
  <si>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</si>
  <si>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</si>
  <si>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</si>
  <si>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</si>
  <si>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</si>
  <si>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</si>
  <si>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</si>
  <si>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</si>
  <si>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</si>
  <si>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</si>
  <si>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</si>
  <si>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</si>
  <si>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</si>
  <si>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</si>
  <si>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</si>
  <si>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</si>
  <si>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</si>
  <si>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</si>
  <si>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</si>
  <si>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</si>
  <si>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</si>
  <si>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</si>
  <si>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</si>
  <si>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</si>
  <si>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</si>
  <si>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</si>
  <si>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</si>
  <si>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</si>
  <si>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</si>
  <si>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</si>
  <si>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</si>
  <si>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</si>
  <si>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</si>
  <si>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</si>
  <si>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</si>
  <si>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</si>
  <si>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</si>
  <si>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</si>
  <si>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</si>
  <si>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</si>
  <si>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</si>
  <si>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</si>
  <si>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</si>
  <si>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</si>
  <si>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</si>
  <si>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</si>
  <si>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</si>
  <si>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</si>
  <si>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</si>
  <si>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</si>
  <si>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</si>
  <si>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</si>
  <si>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</si>
  <si>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</si>
  <si>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</si>
  <si>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</si>
  <si>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</si>
  <si>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</si>
  <si>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</si>
  <si>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</si>
  <si>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</si>
  <si>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</si>
  <si>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</si>
  <si>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</si>
  <si>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</si>
  <si>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</si>
  <si>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</si>
  <si>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</si>
  <si>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</si>
  <si>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</si>
  <si>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</si>
  <si>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</si>
  <si>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</si>
  <si>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</si>
  <si>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</si>
  <si>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</si>
  <si>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</si>
  <si>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</si>
  <si>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</si>
  <si>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</si>
  <si>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</si>
  <si>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</si>
  <si>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</si>
  <si>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</si>
  <si>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</si>
  <si>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</si>
  <si>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</si>
  <si>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</si>
  <si>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</si>
  <si>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</si>
  <si>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</si>
  <si>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</si>
  <si>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</si>
  <si>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</si>
  <si>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</si>
  <si>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</si>
  <si>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</si>
  <si>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</si>
  <si>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</si>
  <si>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</si>
  <si>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</si>
  <si>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</si>
  <si>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</si>
  <si>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</si>
  <si>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</si>
  <si>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</si>
  <si>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</si>
  <si>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</si>
  <si>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</si>
  <si>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</si>
  <si>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</si>
  <si>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</si>
  <si>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</si>
  <si>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</si>
  <si>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</si>
  <si>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</si>
  <si>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</si>
  <si>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</si>
  <si>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</si>
  <si>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</si>
  <si>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</si>
  <si>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</si>
  <si>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</si>
  <si>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</si>
  <si>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</si>
  <si>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</si>
  <si>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</si>
  <si>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</si>
  <si>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</si>
  <si>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</si>
  <si>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</si>
  <si>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</si>
  <si>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</si>
  <si>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</si>
  <si>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</si>
  <si>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</si>
  <si>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</si>
  <si>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</si>
  <si>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</si>
  <si>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</si>
  <si>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</si>
  <si>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</si>
  <si>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</si>
  <si>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</si>
  <si>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</si>
  <si>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</si>
  <si>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</si>
  <si>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</si>
  <si>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</si>
  <si>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</si>
  <si>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</si>
  <si>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</si>
  <si>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</si>
  <si>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</si>
  <si>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</si>
  <si>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</si>
  <si>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</si>
  <si>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</si>
  <si>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</si>
  <si>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</si>
  <si>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</si>
  <si>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</si>
  <si>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</si>
  <si>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</si>
  <si>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</si>
  <si>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</si>
  <si>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</si>
  <si>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</si>
  <si>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</si>
  <si>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</si>
  <si>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</si>
  <si>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</si>
  <si>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</si>
  <si>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</si>
  <si>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</si>
  <si>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</si>
  <si>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</si>
  <si>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</si>
  <si>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</si>
  <si>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</si>
  <si>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</si>
  <si>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</si>
  <si>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</si>
  <si>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</si>
  <si>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</si>
  <si>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</si>
  <si>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</si>
  <si>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</si>
  <si>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</si>
  <si>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</si>
  <si>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</si>
  <si>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</si>
  <si>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</si>
  <si>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</si>
  <si>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</si>
  <si>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</si>
  <si>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</si>
  <si>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</si>
  <si>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</si>
  <si>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</si>
  <si>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</si>
  <si>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</si>
  <si>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</si>
  <si>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</si>
  <si>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</si>
  <si>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</si>
  <si>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</si>
  <si>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</si>
  <si>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</si>
  <si>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</si>
  <si>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</si>
  <si>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</si>
  <si>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</si>
  <si>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</si>
  <si>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</si>
  <si>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</si>
  <si>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</si>
  <si>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</si>
  <si>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</si>
  <si>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</si>
  <si>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</si>
  <si>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</si>
  <si>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</si>
  <si>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</si>
  <si>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</si>
  <si>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</si>
  <si>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</si>
  <si>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</si>
  <si>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</si>
  <si>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</si>
  <si>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</si>
  <si>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</si>
  <si>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</si>
  <si>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</si>
  <si>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</si>
  <si>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</si>
  <si>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</si>
  <si>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</si>
  <si>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</si>
  <si>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</si>
  <si>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</si>
  <si>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</si>
  <si>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</si>
  <si>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</si>
  <si>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</si>
  <si>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</si>
  <si>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</si>
  <si>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</si>
  <si>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</si>
  <si>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</si>
  <si>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</si>
  <si>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</si>
  <si>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</si>
  <si>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</si>
  <si>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</si>
  <si>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</si>
  <si>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</si>
  <si>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</si>
  <si>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</si>
  <si>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</si>
  <si>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</si>
  <si>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</si>
  <si>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</si>
  <si>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</si>
  <si>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</si>
  <si>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</si>
  <si>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</si>
  <si>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</si>
  <si>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</si>
  <si>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</si>
  <si>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</si>
  <si>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</si>
  <si>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</si>
  <si>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</si>
  <si>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</si>
  <si>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</si>
  <si>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</si>
  <si>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</si>
  <si>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</si>
  <si>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</si>
  <si>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</si>
  <si>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</si>
  <si>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</si>
  <si>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</si>
  <si>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</si>
  <si>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</si>
  <si>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</si>
  <si>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</si>
  <si>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</si>
  <si>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</si>
  <si>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</si>
  <si>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</si>
  <si>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</si>
  <si>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</si>
  <si>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</si>
  <si>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</si>
  <si>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</si>
  <si>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</si>
  <si>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</si>
  <si>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</si>
  <si>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</si>
  <si>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</si>
  <si>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</si>
  <si>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</si>
  <si>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</si>
  <si>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</si>
  <si>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</si>
  <si>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</si>
  <si>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</si>
  <si>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</si>
  <si>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</si>
  <si>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</si>
  <si>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</si>
  <si>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</si>
  <si>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</si>
  <si>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</si>
  <si>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</si>
  <si>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</si>
  <si>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</si>
  <si>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</si>
  <si>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</si>
  <si>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</si>
  <si>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</si>
  <si>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</si>
  <si>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</si>
  <si>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</si>
  <si>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</si>
  <si>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</si>
  <si>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</si>
  <si>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</si>
  <si>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</si>
  <si>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</si>
  <si>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</si>
  <si>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</si>
  <si>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</si>
  <si>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</si>
  <si>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</si>
  <si>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</si>
  <si>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</si>
  <si>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</si>
  <si>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</si>
  <si>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</si>
  <si>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</si>
  <si>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</si>
  <si>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</si>
  <si>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</si>
  <si>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</si>
  <si>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</si>
  <si>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</si>
  <si>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</si>
  <si>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</si>
  <si>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</si>
  <si>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</si>
  <si>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</si>
  <si>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</si>
  <si>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</si>
  <si>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</si>
  <si>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</si>
  <si>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</si>
  <si>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</si>
  <si>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</si>
  <si>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</si>
  <si>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</si>
  <si>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</si>
  <si>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</si>
  <si>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</si>
  <si>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</si>
  <si>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</si>
  <si>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</si>
  <si>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</si>
  <si>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</si>
  <si>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</si>
  <si>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</si>
  <si>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</si>
  <si>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</si>
  <si>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</si>
  <si>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</si>
  <si>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</si>
  <si>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</si>
  <si>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</si>
  <si>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</si>
  <si>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</si>
  <si>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</si>
  <si>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</si>
  <si>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</si>
  <si>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</si>
  <si>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</si>
  <si>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</si>
  <si>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</si>
  <si>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</si>
  <si>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</si>
  <si>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</si>
  <si>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</si>
  <si>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</si>
  <si>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</si>
  <si>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</si>
  <si>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</si>
  <si>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</si>
  <si>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</si>
  <si>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</si>
  <si>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</si>
  <si>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</si>
  <si>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</si>
  <si>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</si>
  <si>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</si>
  <si>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</si>
  <si>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</si>
  <si>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</si>
  <si>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</si>
  <si>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</si>
  <si>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</si>
  <si>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</si>
  <si>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</si>
  <si>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</si>
  <si>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</si>
  <si>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</si>
  <si>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</si>
  <si>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</si>
  <si>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</si>
  <si>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</si>
  <si>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</si>
  <si>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</si>
  <si>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</si>
  <si>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</si>
  <si>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</si>
  <si>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</si>
  <si>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</si>
  <si>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</si>
  <si>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</si>
  <si>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</si>
  <si>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</si>
  <si>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</si>
  <si>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</si>
  <si>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</si>
  <si>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</si>
  <si>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</si>
  <si>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</si>
  <si>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</si>
  <si>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</si>
  <si>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</si>
  <si>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</si>
  <si>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</si>
  <si>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</si>
  <si>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</si>
  <si>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</si>
  <si>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</si>
  <si>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</si>
  <si>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</si>
  <si>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</si>
  <si>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</si>
  <si>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</si>
  <si>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</si>
  <si>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</si>
  <si>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</si>
  <si>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</si>
  <si>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</si>
  <si>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</si>
  <si>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</si>
  <si>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</si>
  <si>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</si>
  <si>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</si>
  <si>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</si>
  <si>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</si>
  <si>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</si>
  <si>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</si>
  <si>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</si>
  <si>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</si>
  <si>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</si>
  <si>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</si>
  <si>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</si>
  <si>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</si>
  <si>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</si>
  <si>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</si>
  <si>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</si>
  <si>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</si>
  <si>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</si>
  <si>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</si>
  <si>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</si>
  <si>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</si>
  <si>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</si>
  <si>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</si>
  <si>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</si>
  <si>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</si>
  <si>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</si>
  <si>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</si>
  <si>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</si>
  <si>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</si>
  <si>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</si>
  <si>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</si>
  <si>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</si>
  <si>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</si>
  <si>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</si>
  <si>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</si>
  <si>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</si>
  <si>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</si>
  <si>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</si>
  <si>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</si>
  <si>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</si>
  <si>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</si>
  <si>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</si>
  <si>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</si>
  <si>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</si>
  <si>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</si>
  <si>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</si>
  <si>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</si>
  <si>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</si>
  <si>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</si>
  <si>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</si>
  <si>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</si>
  <si>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</si>
  <si>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</si>
  <si>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</si>
  <si>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</si>
  <si>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</si>
  <si>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</si>
  <si>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</si>
  <si>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</si>
  <si>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</si>
  <si>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</si>
  <si>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</si>
  <si>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</si>
  <si>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</si>
  <si>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</si>
  <si>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</si>
  <si>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</si>
  <si>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</si>
  <si>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</si>
  <si>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</si>
  <si>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</si>
  <si>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</si>
  <si>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</si>
  <si>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</si>
  <si>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</si>
  <si>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</si>
  <si>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</si>
  <si>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</si>
  <si>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</si>
  <si>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</si>
  <si>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</si>
  <si>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</si>
  <si>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</si>
  <si>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</si>
  <si>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</si>
  <si>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</si>
  <si>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</si>
  <si>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</si>
  <si>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</si>
  <si>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</si>
  <si>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</si>
  <si>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</si>
  <si>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</si>
  <si>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</si>
  <si>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</si>
  <si>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</si>
  <si>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</si>
  <si>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</si>
  <si>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</si>
  <si>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</si>
  <si>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</si>
  <si>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</si>
  <si>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</si>
  <si>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</si>
  <si>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</si>
  <si>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</si>
  <si>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</si>
  <si>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</si>
  <si>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</si>
  <si>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</si>
  <si>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</si>
  <si>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</si>
  <si>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</si>
  <si>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</si>
  <si>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</si>
  <si>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</si>
  <si>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</si>
  <si>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</si>
  <si>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</si>
  <si>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</si>
  <si>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</si>
  <si>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</si>
  <si>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</si>
  <si>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</si>
  <si>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</si>
  <si>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</si>
  <si>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</si>
  <si>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</si>
  <si>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</si>
  <si>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</si>
  <si>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</si>
  <si>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</si>
  <si>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</si>
  <si>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</si>
  <si>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</si>
  <si>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</si>
  <si>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</si>
  <si>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</si>
  <si>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</si>
  <si>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</si>
  <si>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</si>
  <si>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</si>
  <si>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</si>
  <si>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</si>
  <si>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</si>
  <si>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</si>
  <si>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</si>
  <si>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</si>
  <si>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</si>
  <si>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</si>
  <si>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</si>
  <si>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</si>
  <si>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</si>
  <si>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</si>
  <si>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</si>
  <si>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</si>
  <si>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</si>
  <si>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</si>
  <si>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</si>
  <si>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</si>
  <si>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</si>
  <si>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</si>
  <si>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</si>
  <si>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</si>
  <si>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</si>
  <si>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</si>
  <si>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</si>
  <si>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</si>
  <si>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</si>
  <si>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</si>
  <si>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</si>
  <si>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</si>
  <si>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</si>
  <si>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</si>
  <si>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</si>
  <si>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</si>
  <si>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</si>
  <si>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</si>
  <si>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</si>
  <si>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</si>
  <si>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</si>
  <si>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</si>
  <si>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</si>
  <si>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</si>
  <si>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</si>
  <si>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</si>
  <si>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</si>
  <si>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</si>
  <si>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</si>
  <si>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</si>
  <si>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</si>
  <si>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</si>
  <si>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</si>
  <si>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</si>
  <si>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</si>
  <si>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</si>
  <si>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</si>
  <si>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</si>
  <si>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</si>
  <si>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</si>
  <si>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</si>
  <si>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</si>
  <si>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</si>
  <si>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</si>
  <si>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</si>
  <si>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</si>
  <si>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</si>
  <si>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</si>
  <si>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</si>
  <si>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</si>
  <si>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</si>
  <si>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</si>
  <si>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</si>
  <si>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</si>
  <si>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</si>
  <si>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</si>
  <si>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</si>
  <si>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</si>
  <si>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</si>
  <si>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</si>
  <si>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</si>
  <si>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</si>
  <si>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</si>
  <si>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</si>
  <si>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</si>
  <si>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</si>
  <si>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</si>
  <si>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</si>
  <si>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</si>
  <si>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</si>
  <si>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</si>
  <si>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</si>
  <si>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</si>
  <si>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</si>
  <si>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</si>
  <si>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</si>
  <si>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</si>
  <si>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</si>
  <si>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</si>
  <si>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</si>
  <si>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</si>
  <si>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</si>
  <si>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</si>
  <si>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</si>
  <si>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</si>
  <si>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</si>
  <si>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</si>
  <si>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</si>
  <si>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</si>
  <si>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</si>
  <si>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</si>
  <si>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</si>
  <si>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</si>
  <si>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</si>
  <si>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</si>
  <si>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</si>
  <si>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</si>
  <si>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</si>
  <si>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</si>
  <si>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</si>
  <si>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</si>
  <si>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</si>
  <si>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</si>
  <si>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</si>
  <si>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</si>
  <si>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</si>
  <si>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</si>
  <si>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</si>
  <si>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</si>
  <si>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</si>
  <si>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</si>
  <si>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</si>
  <si>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</si>
  <si>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</si>
  <si>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</si>
  <si>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</si>
  <si>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</si>
  <si>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</si>
  <si>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</si>
  <si>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</si>
  <si>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</si>
  <si>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</si>
  <si>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</si>
  <si>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</si>
  <si>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</si>
  <si>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</si>
  <si>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</si>
  <si>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</si>
  <si>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</si>
  <si>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</si>
  <si>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</si>
  <si>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</si>
  <si>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</si>
  <si>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</si>
  <si>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</si>
  <si>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</si>
  <si>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</si>
  <si>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</si>
  <si>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</si>
  <si>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</si>
  <si>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</si>
  <si>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</si>
  <si>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</si>
  <si>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</si>
  <si>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</si>
  <si>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</si>
  <si>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</si>
  <si>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</si>
  <si>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</si>
  <si>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</si>
  <si>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</si>
  <si>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</si>
  <si>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</si>
  <si>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</si>
  <si>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</si>
  <si>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</si>
  <si>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</si>
  <si>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</si>
  <si>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</si>
  <si>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</si>
  <si>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</si>
  <si>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</si>
  <si>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</si>
  <si>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</si>
  <si>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</si>
  <si>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</si>
  <si>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</si>
  <si>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</si>
  <si>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</si>
  <si>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</si>
  <si>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</si>
  <si>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</si>
  <si>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</si>
  <si>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</si>
  <si>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</si>
  <si>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</si>
  <si>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</si>
  <si>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</si>
  <si>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</si>
  <si>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</si>
  <si>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</si>
  <si>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</si>
  <si>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</si>
  <si>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</si>
  <si>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</si>
  <si>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</si>
  <si>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</si>
  <si>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</si>
  <si>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</si>
  <si>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</si>
  <si>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</si>
  <si>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</si>
  <si>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</si>
  <si>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</si>
  <si>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</si>
  <si>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</si>
  <si>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</si>
  <si>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</si>
  <si>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</si>
  <si>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</si>
  <si>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</si>
  <si>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</si>
  <si>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</si>
  <si>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</si>
  <si>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</si>
  <si>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</si>
  <si>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</si>
  <si>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</si>
  <si>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</si>
  <si>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</si>
  <si>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</si>
  <si>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</si>
  <si>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</si>
  <si>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</si>
  <si>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</si>
  <si>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</si>
  <si>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</si>
  <si>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</si>
  <si>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</si>
  <si>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</si>
  <si>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</si>
  <si>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</si>
  <si>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</si>
  <si>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</si>
  <si>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</si>
  <si>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</si>
  <si>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</si>
  <si>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</si>
  <si>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</si>
  <si>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</si>
  <si>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</si>
  <si>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</si>
  <si>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</si>
  <si>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</si>
  <si>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</si>
  <si>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</si>
  <si>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</si>
  <si>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</si>
  <si>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</si>
  <si>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</si>
  <si>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</si>
  <si>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</si>
  <si>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</si>
  <si>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</si>
  <si>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</si>
  <si>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</si>
  <si>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</si>
  <si>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</si>
  <si>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</si>
  <si>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</si>
  <si>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</si>
  <si>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</si>
  <si>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</si>
  <si>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</si>
  <si>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</si>
  <si>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</si>
  <si>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</si>
  <si>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</si>
  <si>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</si>
  <si>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</si>
  <si>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</si>
  <si>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</si>
  <si>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</si>
  <si>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</si>
  <si>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</si>
  <si>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</si>
  <si>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</si>
  <si>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</si>
  <si>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</si>
  <si>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</si>
  <si>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</si>
  <si>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</si>
  <si>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</si>
  <si>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</si>
  <si>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</si>
  <si>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</si>
  <si>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</si>
  <si>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</si>
  <si>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</si>
  <si>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</si>
  <si>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</si>
  <si>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</si>
  <si>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</si>
  <si>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</si>
  <si>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</si>
  <si>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</si>
  <si>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</si>
  <si>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</si>
  <si>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</si>
  <si>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</si>
  <si>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</si>
  <si>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</si>
  <si>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</si>
  <si>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</si>
  <si>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</si>
  <si>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</si>
  <si>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</si>
  <si>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</si>
  <si>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</si>
  <si>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</si>
  <si>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</si>
  <si>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</si>
  <si>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</si>
  <si>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</si>
  <si>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</si>
  <si>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</si>
  <si>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</si>
  <si>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</si>
  <si>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</si>
  <si>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</si>
  <si>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</si>
  <si>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</si>
  <si>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</si>
  <si>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</si>
  <si>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</si>
  <si>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</si>
  <si>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</si>
  <si>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</si>
  <si>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</si>
  <si>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</si>
  <si>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</si>
  <si>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</si>
  <si>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</si>
  <si>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</si>
  <si>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</si>
  <si>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</si>
  <si>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</si>
  <si>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</si>
  <si>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</si>
  <si>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</si>
  <si>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</si>
  <si>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</si>
  <si>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</si>
  <si>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</si>
  <si>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</si>
  <si>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</si>
  <si>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</si>
  <si>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</si>
  <si>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</si>
  <si>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</si>
  <si>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</si>
  <si>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</si>
  <si>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</si>
  <si>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</si>
  <si>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</si>
  <si>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</si>
  <si>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</si>
  <si>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</si>
  <si>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</si>
  <si>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</si>
  <si>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</si>
  <si>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</si>
  <si>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</si>
  <si>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</si>
  <si>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</si>
  <si>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</si>
  <si>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</si>
  <si>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</si>
  <si>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</si>
  <si>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</si>
  <si>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</si>
  <si>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</si>
  <si>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</si>
  <si>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</si>
  <si>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</si>
  <si>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</si>
  <si>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</si>
  <si>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</si>
  <si>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</si>
  <si>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</si>
  <si>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</si>
  <si>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</si>
  <si>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</si>
  <si>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</si>
  <si>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</si>
  <si>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</si>
  <si>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</si>
  <si>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</si>
  <si>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</si>
  <si>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</si>
  <si>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</si>
  <si>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</si>
  <si>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</si>
  <si>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</si>
  <si>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</si>
  <si>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</si>
  <si>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</si>
  <si>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</si>
  <si>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</si>
  <si>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</si>
  <si>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</si>
  <si>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</si>
  <si>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</si>
  <si>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</si>
  <si>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</si>
  <si>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</si>
  <si>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</si>
  <si>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</si>
  <si>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</si>
  <si>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</si>
  <si>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</si>
  <si>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</si>
  <si>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</si>
  <si>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</si>
  <si>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</si>
  <si>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</si>
  <si>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</si>
  <si>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</si>
  <si>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</si>
  <si>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</si>
  <si>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</si>
  <si>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</si>
  <si>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</si>
  <si>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</si>
  <si>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</si>
  <si>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</si>
  <si>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</si>
  <si>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</si>
  <si>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</si>
  <si>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</si>
  <si>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</si>
  <si>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</si>
  <si>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</si>
  <si>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</si>
  <si>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</si>
  <si>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</si>
  <si>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</si>
  <si>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</si>
  <si>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</si>
  <si>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</si>
  <si>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</si>
  <si>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</si>
  <si>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</si>
  <si>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</si>
  <si>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</si>
  <si>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</si>
  <si>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</si>
  <si>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</si>
  <si>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</si>
  <si>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</si>
  <si>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</si>
  <si>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</si>
  <si>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</si>
  <si>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</si>
  <si>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</si>
  <si>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</si>
  <si>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</si>
  <si>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</si>
  <si>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</si>
  <si>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</si>
  <si>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</si>
  <si>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</si>
  <si>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</si>
  <si>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</si>
  <si>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</si>
  <si>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</si>
  <si>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</si>
  <si>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</si>
  <si>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</si>
  <si>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</si>
  <si>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</si>
  <si>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</si>
  <si>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</si>
  <si>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</si>
  <si>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</si>
  <si>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</si>
  <si>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</si>
  <si>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</si>
  <si>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</si>
  <si>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</si>
  <si>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</si>
  <si>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</si>
  <si>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</si>
  <si>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</si>
  <si>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</si>
  <si>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</si>
  <si>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</si>
  <si>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</si>
  <si>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</si>
  <si>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</si>
  <si>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</si>
  <si>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</si>
  <si>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</si>
  <si>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</si>
  <si>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</si>
  <si>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</si>
  <si>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</si>
  <si>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</si>
  <si>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</si>
  <si>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</si>
  <si>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</si>
  <si>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</si>
  <si>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</si>
  <si>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</si>
  <si>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</si>
  <si>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</si>
  <si>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</si>
  <si>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</si>
  <si>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</si>
  <si>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</si>
  <si>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</si>
  <si>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</si>
  <si>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</si>
  <si>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</si>
  <si>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</si>
  <si>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</si>
  <si>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</si>
  <si>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</si>
  <si>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</si>
  <si>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</si>
  <si>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</si>
  <si>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</si>
  <si>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</si>
  <si>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</si>
  <si>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</si>
  <si>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</si>
  <si>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</si>
  <si>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</si>
  <si>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</si>
  <si>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</si>
  <si>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</si>
  <si>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</si>
  <si>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</si>
  <si>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</si>
  <si>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</si>
  <si>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</si>
  <si>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</si>
  <si>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</si>
  <si>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</si>
  <si>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</si>
  <si>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</si>
  <si>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</si>
  <si>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</si>
  <si>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</si>
  <si>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</si>
  <si>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</si>
  <si>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</si>
  <si>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</si>
  <si>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</si>
  <si>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</si>
  <si>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</si>
  <si>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</si>
  <si>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</si>
  <si>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</si>
  <si>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</si>
  <si>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</si>
  <si>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</si>
  <si>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</si>
  <si>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</si>
  <si>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</si>
  <si>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</si>
  <si>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</si>
  <si>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</si>
  <si>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</si>
  <si>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</si>
  <si>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</si>
  <si>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</si>
  <si>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</si>
  <si>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</si>
  <si>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</si>
  <si>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</si>
  <si>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</si>
  <si>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</si>
  <si>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</si>
  <si>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</si>
  <si>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</si>
  <si>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</si>
  <si>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</si>
  <si>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</si>
  <si>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</si>
  <si>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</si>
  <si>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</si>
  <si>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</si>
  <si>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</si>
  <si>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</si>
  <si>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</si>
  <si>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</si>
  <si>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</si>
  <si>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</si>
  <si>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</si>
  <si>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</si>
  <si>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</si>
  <si>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</si>
  <si>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</si>
  <si>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</si>
  <si>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</si>
  <si>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</si>
  <si>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</si>
  <si>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</si>
  <si>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</si>
  <si>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</si>
  <si>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</si>
  <si>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</si>
  <si>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</si>
  <si>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</si>
  <si>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</si>
  <si>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</si>
  <si>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</si>
  <si>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</si>
  <si>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</si>
  <si>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</si>
  <si>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</si>
  <si>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</si>
  <si>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</si>
  <si>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</si>
  <si>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</si>
  <si>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</si>
  <si>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</si>
  <si>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</si>
  <si>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</si>
  <si>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</si>
  <si>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</si>
  <si>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</si>
  <si>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</si>
  <si>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</si>
  <si>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</si>
  <si>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</si>
  <si>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</si>
  <si>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</si>
  <si>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</si>
  <si>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</si>
  <si>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</si>
  <si>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</si>
  <si>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</si>
  <si>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</si>
  <si>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</si>
  <si>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</si>
  <si>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</si>
  <si>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</si>
  <si>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</si>
  <si>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</si>
  <si>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</si>
  <si>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</si>
  <si>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</si>
  <si>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</si>
  <si>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</si>
  <si>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</si>
  <si>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</si>
  <si>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</si>
  <si>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</si>
  <si>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</si>
  <si>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</si>
  <si>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</si>
  <si>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</si>
  <si>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</si>
  <si>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</si>
  <si>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</si>
  <si>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</si>
  <si>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</si>
  <si>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</si>
  <si>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</si>
  <si>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</si>
  <si>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</si>
  <si>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</si>
  <si>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</si>
  <si>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</si>
  <si>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</si>
  <si>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</si>
  <si>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</si>
  <si>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</si>
  <si>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</si>
  <si>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</si>
  <si>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</si>
  <si>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</si>
  <si>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</si>
  <si>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</si>
  <si>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</si>
  <si>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</si>
  <si>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</si>
  <si>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</si>
  <si>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</si>
  <si>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</si>
  <si>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</si>
  <si>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</si>
  <si>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</si>
  <si>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</si>
  <si>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</si>
  <si>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</si>
  <si>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</si>
  <si>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</si>
  <si>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</si>
  <si>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</si>
  <si>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</si>
  <si>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</si>
  <si>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</si>
  <si>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</si>
  <si>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</si>
  <si>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</si>
  <si>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</si>
  <si>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</si>
  <si>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</si>
  <si>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</si>
  <si>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</si>
  <si>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</si>
  <si>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</si>
  <si>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</si>
  <si>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</si>
  <si>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</si>
  <si>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</si>
  <si>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</si>
  <si>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</si>
  <si>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</si>
  <si>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</si>
  <si>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</si>
  <si>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</si>
  <si>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</si>
  <si>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</si>
  <si>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</si>
  <si>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</si>
  <si>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</si>
  <si>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</si>
  <si>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</si>
  <si>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</si>
  <si>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</si>
  <si>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</si>
  <si>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</si>
  <si>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</si>
  <si>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</si>
  <si>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</si>
  <si>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</si>
  <si>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</si>
  <si>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</si>
  <si>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</si>
  <si>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</si>
  <si>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</si>
  <si>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</si>
  <si>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</si>
  <si>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</si>
  <si>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</si>
  <si>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</si>
  <si>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</si>
  <si>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</si>
  <si>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</si>
  <si>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</si>
  <si>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</si>
  <si>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</si>
  <si>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</si>
  <si>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</si>
  <si>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</si>
  <si>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</si>
  <si>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</si>
  <si>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</si>
  <si>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</si>
  <si>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</si>
  <si>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</si>
  <si>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</si>
  <si>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</si>
  <si>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</si>
  <si>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</si>
  <si>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</si>
  <si>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</si>
  <si>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</si>
  <si>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</si>
  <si>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</si>
  <si>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</si>
  <si>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</si>
  <si>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</si>
  <si>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</si>
  <si>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</si>
  <si>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</si>
  <si>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</si>
  <si>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</si>
  <si>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</si>
  <si>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</si>
  <si>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</si>
  <si>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</si>
  <si>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</si>
  <si>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</si>
  <si>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</si>
  <si>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</si>
  <si>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</si>
  <si>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</si>
  <si>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</si>
  <si>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</si>
  <si>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</si>
  <si>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</si>
  <si>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</si>
  <si>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</si>
  <si>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</si>
  <si>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</si>
  <si>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</si>
  <si>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</si>
  <si>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</si>
  <si>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</si>
  <si>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</si>
  <si>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</si>
  <si>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</si>
  <si>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</si>
  <si>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</si>
  <si>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</si>
  <si>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</si>
  <si>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</si>
  <si>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</si>
  <si>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</si>
  <si>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</si>
  <si>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</si>
  <si>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</si>
  <si>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</si>
  <si>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</si>
  <si>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</si>
  <si>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</si>
  <si>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</si>
  <si>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</si>
  <si>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</si>
  <si>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</si>
  <si>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</si>
  <si>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</si>
  <si>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</si>
  <si>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</si>
  <si>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</si>
  <si>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</si>
  <si>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</si>
  <si>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</si>
  <si>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</si>
  <si>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</si>
  <si>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</si>
  <si>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</si>
  <si>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</si>
  <si>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</si>
  <si>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</si>
  <si>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</si>
  <si>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</si>
  <si>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</si>
  <si>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</si>
  <si>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</si>
  <si>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</si>
  <si>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</si>
  <si>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</si>
  <si>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</si>
  <si>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</si>
  <si>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</si>
  <si>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</si>
  <si>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</si>
  <si>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</si>
  <si>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</si>
  <si>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</si>
  <si>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</si>
  <si>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</si>
  <si>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</si>
  <si>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</si>
  <si>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</si>
  <si>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</si>
  <si>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</si>
  <si>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</si>
  <si>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</si>
  <si>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</si>
  <si>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</si>
  <si>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</si>
  <si>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</si>
  <si>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</si>
  <si>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</si>
  <si>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</si>
  <si>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</si>
  <si>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</si>
  <si>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</si>
  <si>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</si>
  <si>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</si>
  <si>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</si>
  <si>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</si>
  <si>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</si>
  <si>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</si>
  <si>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</si>
  <si>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</si>
  <si>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</si>
  <si>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</si>
  <si>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</si>
  <si>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</si>
  <si>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</si>
  <si>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</si>
  <si>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</si>
  <si>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</si>
  <si>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</si>
  <si>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</si>
  <si>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</si>
  <si>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</si>
  <si>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</si>
  <si>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</si>
  <si>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</si>
  <si>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</si>
  <si>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</si>
  <si>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</si>
  <si>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</si>
  <si>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</si>
  <si>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</si>
  <si>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</si>
  <si>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</si>
  <si>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</si>
  <si>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</si>
  <si>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</si>
  <si>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</si>
  <si>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</si>
  <si>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</si>
  <si>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</si>
  <si>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</si>
  <si>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</si>
  <si>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</si>
  <si>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</si>
  <si>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</si>
  <si>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</si>
  <si>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</si>
  <si>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</si>
  <si>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</si>
  <si>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</si>
  <si>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</si>
  <si>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</si>
  <si>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</si>
  <si>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</si>
  <si>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</si>
  <si>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</si>
  <si>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</si>
  <si>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</si>
  <si>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</si>
  <si>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</si>
  <si>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</si>
  <si>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</si>
  <si>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</si>
  <si>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</si>
  <si>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</si>
  <si>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</si>
  <si>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</si>
  <si>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</si>
  <si>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</si>
  <si>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</si>
  <si>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</si>
  <si>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</si>
  <si>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</si>
  <si>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</si>
  <si>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</si>
  <si>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</si>
  <si>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</si>
  <si>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</si>
  <si>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</si>
  <si>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</si>
  <si>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</si>
  <si>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</si>
  <si>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</si>
  <si>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</si>
  <si>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</si>
  <si>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</si>
  <si>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</si>
  <si>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</si>
  <si>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</si>
  <si>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</si>
  <si>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</si>
  <si>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</si>
  <si>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</si>
  <si>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</si>
  <si>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</si>
  <si>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</si>
  <si>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</si>
  <si>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</si>
  <si>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</si>
  <si>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</si>
  <si>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</si>
  <si>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</si>
  <si>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</si>
  <si>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</si>
  <si>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</si>
  <si>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</si>
  <si>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</si>
  <si>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</si>
  <si>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</si>
  <si>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</si>
  <si>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</si>
  <si>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</si>
  <si>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</si>
  <si>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</si>
  <si>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</si>
  <si>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</si>
  <si>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</si>
  <si>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</si>
  <si>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</si>
  <si>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</si>
  <si>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</si>
  <si>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</si>
  <si>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</si>
  <si>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</si>
  <si>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</si>
  <si>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</si>
  <si>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</si>
  <si>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</si>
  <si>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</si>
  <si>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</si>
  <si>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</si>
  <si>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</si>
  <si>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</si>
  <si>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</si>
  <si>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</si>
  <si>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</si>
  <si>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</si>
  <si>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</si>
  <si>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</si>
  <si>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</si>
  <si>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</si>
  <si>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</si>
  <si>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</si>
  <si>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</si>
  <si>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</si>
  <si>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</si>
  <si>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</si>
  <si>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</si>
  <si>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</si>
  <si>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</si>
  <si>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</si>
  <si>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</si>
  <si>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</si>
  <si>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</si>
  <si>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</si>
  <si>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</si>
  <si>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</si>
  <si>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</si>
  <si>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</si>
  <si>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</si>
  <si>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</si>
  <si>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</si>
  <si>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</si>
  <si>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</si>
  <si>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</si>
  <si>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</si>
  <si>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</si>
  <si>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</si>
  <si>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</si>
  <si>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</si>
  <si>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</si>
  <si>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</si>
  <si>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</si>
  <si>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</si>
  <si>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</si>
  <si>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</si>
  <si>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</si>
  <si>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</si>
  <si>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</si>
  <si>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</si>
  <si>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</si>
  <si>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</si>
  <si>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</si>
  <si>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</si>
  <si>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</si>
  <si>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</si>
  <si>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</si>
  <si>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</si>
  <si>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</si>
  <si>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</si>
  <si>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</si>
  <si>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</si>
  <si>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</si>
  <si>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</si>
  <si>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</si>
  <si>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</si>
  <si>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</si>
  <si>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</si>
  <si>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</si>
  <si>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</si>
  <si>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</si>
  <si>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</si>
  <si>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</si>
  <si>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</si>
  <si>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</si>
  <si>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</si>
  <si>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</si>
  <si>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</si>
  <si>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</si>
  <si>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</si>
  <si>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</si>
  <si>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</si>
  <si>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</si>
  <si>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</si>
  <si>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</si>
  <si>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</si>
  <si>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</si>
  <si>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</si>
  <si>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</si>
  <si>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</si>
  <si>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</si>
  <si>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</si>
  <si>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</si>
  <si>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</si>
  <si>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</si>
  <si>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</si>
  <si>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</si>
  <si>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</si>
  <si>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</si>
  <si>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</si>
  <si>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</si>
  <si>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</si>
  <si>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</si>
  <si>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</si>
  <si>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</si>
  <si>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</si>
  <si>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</si>
  <si>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</si>
  <si>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</si>
  <si>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</si>
  <si>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</si>
  <si>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</si>
  <si>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</si>
  <si>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</si>
  <si>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</si>
  <si>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</si>
  <si>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</si>
  <si>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</si>
  <si>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</si>
  <si>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</si>
  <si>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</si>
  <si>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</si>
  <si>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</si>
  <si>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</si>
  <si>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</si>
  <si>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</si>
  <si>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</si>
  <si>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</si>
  <si>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</si>
  <si>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</si>
  <si>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</si>
  <si>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</si>
  <si>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</si>
  <si>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</si>
  <si>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</si>
  <si>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</si>
  <si>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</si>
  <si>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</si>
  <si>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</si>
  <si>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</si>
  <si>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</si>
  <si>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</si>
  <si>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</si>
  <si>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</si>
  <si>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</si>
  <si>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</si>
  <si>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</si>
  <si>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</si>
  <si>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</si>
  <si>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</si>
  <si>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</si>
  <si>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</si>
  <si>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</si>
  <si>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</si>
  <si>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</si>
  <si>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</si>
  <si>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</si>
  <si>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</si>
  <si>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</si>
  <si>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</si>
  <si>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</si>
  <si>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</si>
  <si>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</si>
  <si>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</si>
  <si>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</si>
  <si>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</si>
  <si>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</si>
  <si>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</si>
  <si>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</si>
  <si>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</si>
  <si>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</si>
  <si>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</si>
  <si>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</si>
  <si>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</si>
  <si>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</si>
  <si>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</si>
  <si>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</si>
  <si>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</si>
  <si>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</si>
  <si>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</si>
  <si>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</si>
  <si>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</si>
  <si>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</si>
  <si>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</si>
  <si>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</si>
  <si>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</si>
  <si>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</si>
  <si>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</si>
  <si>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</si>
  <si>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</si>
  <si>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</si>
  <si>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</si>
  <si>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</si>
  <si>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</si>
  <si>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</si>
  <si>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</si>
  <si>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</si>
  <si>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</si>
  <si>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</si>
  <si>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</si>
  <si>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</si>
  <si>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</si>
  <si>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</si>
  <si>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</si>
  <si>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</si>
  <si>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</si>
  <si>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</si>
  <si>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</si>
  <si>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</si>
  <si>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</si>
  <si>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</si>
  <si>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</si>
  <si>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</si>
  <si>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</si>
  <si>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</si>
  <si>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</si>
  <si>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</si>
  <si>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</si>
  <si>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</si>
  <si>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</si>
  <si>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</si>
  <si>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</si>
  <si>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</si>
  <si>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</si>
  <si>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</si>
  <si>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</si>
  <si>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</si>
  <si>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</si>
  <si>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</si>
  <si>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</si>
  <si>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</si>
  <si>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</si>
  <si>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</si>
  <si>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</si>
  <si>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</si>
  <si>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</si>
  <si>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</si>
  <si>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</si>
  <si>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</si>
  <si>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</si>
  <si>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</si>
  <si>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</si>
  <si>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</si>
  <si>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</si>
  <si>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</si>
  <si>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</si>
  <si>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</si>
  <si>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</si>
  <si>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</si>
  <si>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</si>
  <si>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</si>
  <si>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</si>
  <si>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</si>
  <si>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</si>
  <si>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</si>
  <si>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</si>
  <si>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</si>
  <si>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</si>
  <si>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</si>
  <si>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</si>
  <si>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</si>
  <si>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</si>
  <si>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</si>
  <si>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</si>
  <si>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</si>
  <si>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</si>
  <si>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</si>
  <si>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</si>
  <si>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</si>
  <si>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</si>
  <si>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</si>
  <si>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</si>
  <si>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</si>
  <si>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</si>
  <si>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</si>
  <si>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</si>
  <si>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</si>
  <si>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</si>
  <si>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</si>
  <si>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</si>
  <si>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</si>
  <si>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</si>
  <si>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</si>
  <si>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</si>
  <si>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</si>
  <si>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</si>
  <si>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</si>
  <si>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</si>
  <si>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</si>
  <si>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</si>
  <si>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</si>
  <si>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</si>
  <si>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</si>
  <si>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</si>
  <si>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</si>
  <si>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</si>
  <si>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</si>
  <si>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</si>
  <si>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</si>
  <si>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</si>
  <si>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</si>
  <si>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</si>
  <si>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</si>
  <si>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</si>
  <si>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</si>
  <si>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</si>
  <si>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</si>
  <si>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</si>
  <si>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</si>
  <si>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</si>
  <si>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</si>
  <si>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</si>
  <si>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</si>
  <si>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</si>
  <si>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</si>
  <si>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</si>
  <si>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</si>
  <si>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</si>
  <si>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</si>
  <si>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</si>
  <si>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</si>
  <si>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</si>
  <si>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</si>
  <si>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</si>
  <si>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</si>
  <si>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</si>
  <si>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</si>
  <si>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</si>
  <si>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</si>
  <si>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</si>
  <si>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</si>
  <si>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</si>
  <si>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</si>
  <si>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</si>
  <si>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</si>
  <si>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</si>
  <si>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</si>
  <si>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</si>
  <si>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</si>
  <si>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</si>
  <si>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</si>
  <si>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</si>
  <si>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</si>
  <si>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</si>
  <si>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</si>
  <si>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</si>
  <si>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</si>
  <si>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</si>
  <si>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</si>
  <si>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</si>
  <si>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</si>
  <si>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</si>
  <si>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</si>
  <si>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</si>
  <si>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</si>
  <si>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</si>
  <si>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</si>
  <si>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</si>
  <si>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</si>
  <si>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</si>
  <si>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</si>
  <si>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</si>
  <si>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</si>
  <si>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</si>
  <si>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</si>
  <si>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</si>
  <si>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</si>
  <si>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</si>
  <si>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</si>
  <si>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</si>
  <si>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</si>
  <si>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</si>
  <si>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</si>
  <si>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</si>
  <si>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</si>
  <si>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</si>
  <si>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</si>
  <si>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</si>
  <si>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</si>
  <si>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</si>
  <si>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</si>
  <si>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</si>
  <si>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</si>
  <si>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</si>
  <si>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</si>
  <si>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</si>
  <si>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</si>
  <si>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</si>
  <si>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</si>
  <si>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</si>
  <si>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</si>
  <si>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</si>
  <si>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</si>
  <si>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</si>
  <si>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</si>
  <si>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</si>
  <si>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</si>
  <si>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</si>
  <si>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</si>
  <si>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</si>
  <si>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</si>
  <si>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</si>
  <si>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</si>
  <si>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</si>
  <si>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</si>
  <si>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</si>
  <si>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</si>
  <si>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</si>
  <si>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</si>
  <si>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</si>
  <si>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</si>
  <si>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</si>
  <si>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</si>
  <si>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</si>
  <si>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</si>
  <si>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</si>
  <si>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</si>
  <si>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</si>
  <si>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</si>
  <si>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</si>
  <si>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</si>
  <si>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</si>
  <si>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</si>
  <si>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</si>
  <si>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</si>
  <si>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</si>
  <si>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</si>
  <si>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</si>
  <si>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</si>
  <si>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</si>
  <si>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</si>
  <si>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</si>
  <si>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</si>
  <si>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</si>
  <si>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</si>
  <si>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</si>
  <si>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</si>
  <si>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</si>
  <si>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</si>
  <si>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</si>
  <si>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</si>
  <si>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</si>
  <si>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</si>
  <si>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</si>
  <si>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</si>
  <si>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</si>
  <si>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</si>
  <si>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</si>
  <si>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</si>
  <si>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</si>
  <si>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</si>
  <si>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</si>
  <si>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</si>
  <si>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</si>
  <si>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</si>
  <si>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</si>
  <si>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</si>
  <si>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</si>
  <si>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</si>
  <si>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</si>
  <si>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</si>
  <si>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</si>
  <si>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</si>
  <si>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</si>
  <si>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</si>
  <si>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</si>
  <si>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</si>
  <si>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</si>
  <si>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</si>
  <si>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</si>
  <si>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</si>
  <si>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</si>
  <si>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</si>
  <si>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</si>
  <si>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</si>
  <si>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</si>
  <si>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</si>
  <si>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</si>
  <si>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</si>
  <si>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</si>
  <si>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</si>
  <si>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</si>
  <si>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</si>
  <si>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</si>
  <si>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</si>
  <si>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</si>
  <si>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</si>
  <si>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</si>
  <si>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</si>
  <si>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</si>
  <si>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</si>
  <si>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</si>
  <si>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</si>
  <si>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</si>
  <si>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</si>
  <si>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</si>
  <si>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</si>
  <si>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</si>
  <si>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</si>
  <si>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</si>
  <si>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</si>
  <si>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</si>
  <si>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</si>
  <si>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</si>
  <si>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</si>
  <si>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</si>
  <si>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</si>
  <si>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</si>
  <si>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</si>
  <si>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</si>
  <si>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</si>
  <si>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</si>
  <si>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</si>
  <si>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</si>
  <si>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</si>
  <si>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</si>
  <si>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</si>
  <si>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</si>
  <si>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</si>
  <si>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</si>
  <si>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</si>
  <si>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</si>
  <si>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</si>
  <si>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</si>
  <si>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</si>
  <si>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</si>
  <si>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</si>
  <si>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</si>
  <si>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</si>
  <si>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</si>
  <si>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</si>
  <si>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</si>
  <si>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</si>
  <si>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</si>
  <si>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</si>
  <si>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</si>
  <si>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</si>
  <si>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</si>
  <si>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</si>
  <si>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</si>
  <si>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</si>
  <si>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</si>
  <si>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</si>
  <si>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</si>
  <si>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</si>
  <si>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</si>
  <si>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</si>
  <si>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</si>
  <si>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</si>
  <si>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</si>
  <si>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</si>
  <si>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</si>
  <si>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</si>
  <si>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</si>
  <si>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</si>
  <si>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</si>
  <si>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</si>
  <si>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</si>
  <si>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</si>
  <si>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</si>
  <si>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</si>
  <si>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</si>
  <si>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</si>
  <si>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</si>
  <si>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</si>
  <si>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</si>
  <si>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</si>
  <si>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</si>
  <si>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</si>
  <si>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</si>
  <si>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</si>
  <si>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</si>
  <si>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</si>
  <si>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</si>
  <si>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</si>
  <si>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</si>
  <si>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</si>
  <si>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</si>
  <si>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</si>
  <si>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</si>
  <si>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</si>
  <si>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</si>
  <si>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</si>
  <si>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</si>
  <si>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</si>
  <si>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</si>
  <si>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</si>
  <si>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</si>
  <si>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</si>
  <si>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</si>
  <si>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</si>
  <si>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</si>
  <si>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</si>
  <si>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</si>
  <si>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</si>
  <si>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</si>
  <si>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</si>
  <si>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</si>
  <si>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</si>
  <si>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</si>
  <si>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</si>
  <si>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</si>
  <si>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</si>
  <si>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</si>
  <si>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</si>
  <si>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</si>
  <si>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</si>
  <si>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</si>
  <si>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</si>
  <si>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</si>
  <si>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</si>
  <si>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</si>
  <si>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</si>
  <si>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</si>
  <si>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</si>
  <si>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</si>
  <si>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</si>
  <si>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</si>
  <si>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</si>
  <si>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</si>
  <si>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</si>
  <si>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</si>
  <si>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</si>
  <si>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</si>
  <si>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</si>
  <si>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</si>
  <si>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</si>
  <si>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</si>
  <si>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</si>
  <si>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</si>
  <si>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</si>
  <si>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</si>
  <si>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</si>
  <si>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</si>
  <si>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</si>
  <si>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</si>
  <si>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</si>
  <si>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</si>
  <si>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</si>
  <si>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</si>
  <si>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</si>
  <si>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</si>
  <si>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</si>
  <si>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</si>
  <si>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</si>
  <si>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</si>
  <si>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</si>
  <si>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</si>
  <si>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</si>
  <si>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</si>
  <si>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</si>
  <si>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</si>
  <si>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</si>
  <si>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</si>
  <si>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</si>
  <si>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</si>
  <si>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</si>
  <si>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</si>
  <si>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</si>
  <si>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</si>
  <si>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</si>
  <si>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</si>
  <si>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</si>
  <si>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</si>
  <si>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</si>
  <si>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</si>
  <si>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</si>
  <si>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</si>
  <si>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</si>
  <si>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</si>
  <si>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</si>
  <si>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</si>
  <si>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</si>
  <si>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</si>
  <si>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</si>
  <si>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</si>
  <si>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</si>
  <si>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</si>
  <si>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</si>
  <si>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</si>
  <si>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</si>
  <si>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</si>
  <si>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</si>
  <si>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</si>
  <si>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</si>
  <si>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</si>
  <si>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</si>
  <si>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</si>
  <si>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</si>
  <si>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</si>
  <si>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</si>
  <si>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</si>
  <si>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</si>
  <si>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</si>
  <si>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</si>
  <si>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</si>
  <si>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</si>
  <si>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</si>
  <si>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</si>
  <si>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</si>
  <si>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</si>
  <si>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</si>
  <si>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</si>
  <si>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</si>
  <si>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</si>
  <si>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</si>
  <si>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</si>
  <si>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</si>
  <si>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</si>
  <si>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</si>
  <si>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</si>
  <si>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</si>
  <si>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</si>
  <si>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</si>
  <si>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</si>
  <si>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</si>
  <si>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</si>
  <si>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</si>
  <si>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</si>
  <si>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</si>
  <si>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</si>
  <si>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</si>
  <si>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</si>
  <si>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</si>
  <si>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</si>
  <si>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</si>
  <si>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</si>
  <si>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</si>
  <si>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</si>
  <si>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</si>
  <si>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</si>
  <si>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</si>
  <si>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</si>
  <si>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</si>
  <si>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</si>
  <si>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</si>
  <si>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</si>
  <si>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</si>
  <si>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</si>
  <si>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</si>
  <si>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</si>
  <si>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</si>
  <si>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</si>
  <si>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</si>
  <si>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</si>
  <si>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</si>
  <si>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</si>
  <si>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</si>
  <si>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</si>
  <si>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</si>
  <si>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</si>
  <si>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</si>
  <si>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</si>
  <si>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</si>
  <si>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</si>
  <si>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</si>
  <si>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</si>
  <si>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</si>
  <si>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</si>
  <si>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</si>
  <si>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</si>
  <si>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</si>
  <si>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</si>
  <si>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</si>
  <si>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</si>
  <si>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</si>
  <si>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</si>
  <si>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</si>
  <si>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</si>
  <si>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</si>
  <si>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</si>
  <si>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</si>
  <si>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</si>
  <si>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</si>
  <si>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</si>
  <si>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</si>
  <si>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</si>
  <si>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</si>
  <si>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</si>
  <si>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</si>
  <si>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</si>
  <si>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</si>
  <si>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</si>
  <si>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</si>
  <si>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</si>
  <si>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</si>
  <si>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</si>
  <si>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</si>
  <si>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</si>
  <si>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</si>
  <si>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</si>
  <si>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</si>
  <si>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</si>
  <si>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</si>
  <si>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</si>
  <si>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</si>
  <si>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</si>
  <si>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</si>
  <si>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</si>
  <si>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</si>
  <si>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</si>
  <si>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</si>
  <si>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</si>
  <si>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</si>
  <si>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</si>
  <si>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</si>
  <si>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</si>
  <si>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</si>
  <si>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</si>
  <si>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</si>
  <si>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</si>
  <si>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</si>
  <si>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</si>
  <si>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</si>
  <si>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</si>
  <si>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</si>
  <si>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</si>
  <si>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</si>
  <si>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</si>
  <si>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</si>
  <si>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</si>
  <si>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</si>
  <si>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</si>
  <si>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</si>
  <si>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</si>
  <si>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</si>
  <si>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</si>
  <si>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</si>
  <si>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</si>
  <si>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</si>
  <si>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</si>
  <si>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</si>
  <si>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</si>
  <si>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</si>
  <si>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</si>
  <si>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</si>
  <si>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</si>
  <si>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</si>
  <si>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</si>
  <si>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</si>
  <si>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</si>
  <si>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</si>
  <si>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</si>
  <si>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</si>
  <si>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</si>
  <si>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</si>
  <si>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</si>
  <si>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</si>
  <si>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</si>
  <si>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</si>
  <si>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</si>
  <si>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</si>
  <si>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</si>
  <si>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</si>
  <si>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</si>
  <si>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</si>
  <si>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</si>
  <si>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</si>
  <si>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</si>
  <si>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</si>
  <si>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</si>
  <si>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</si>
  <si>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</si>
  <si>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</si>
  <si>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</si>
  <si>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</si>
  <si>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</si>
  <si>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</si>
  <si>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</si>
  <si>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</si>
  <si>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</si>
  <si>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</si>
  <si>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</si>
  <si>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</si>
  <si>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</si>
  <si>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</si>
  <si>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</si>
  <si>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</si>
  <si>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</si>
  <si>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</si>
  <si>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</si>
  <si>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</si>
  <si>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</si>
  <si>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</si>
  <si>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</si>
  <si>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</si>
  <si>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</si>
  <si>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</si>
  <si>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</si>
  <si>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</si>
  <si>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</si>
  <si>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</si>
  <si>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</si>
  <si>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</si>
  <si>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</si>
  <si>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</si>
  <si>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</si>
  <si>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</si>
  <si>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</si>
  <si>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</si>
  <si>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</si>
  <si>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</si>
  <si>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</si>
  <si>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</si>
  <si>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</si>
  <si>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</si>
  <si>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</si>
  <si>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</si>
  <si>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</si>
  <si>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</si>
  <si>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</si>
  <si>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</si>
  <si>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</si>
  <si>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</si>
  <si>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</si>
  <si>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</si>
  <si>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</si>
  <si>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</si>
  <si>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</si>
  <si>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</si>
  <si>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</si>
  <si>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</si>
  <si>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</si>
  <si>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</si>
  <si>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</si>
  <si>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</si>
  <si>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</si>
  <si>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</si>
  <si>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</si>
  <si>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</si>
  <si>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</si>
  <si>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</si>
  <si>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</si>
  <si>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</si>
  <si>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</si>
  <si>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</si>
  <si>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</si>
  <si>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</si>
  <si>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</si>
  <si>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</si>
  <si>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</si>
  <si>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</si>
  <si>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</si>
  <si>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</si>
  <si>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</si>
  <si>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</si>
  <si>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</si>
  <si>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</si>
  <si>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</si>
  <si>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</si>
  <si>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</si>
  <si>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</si>
  <si>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</si>
  <si>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</si>
  <si>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</si>
  <si>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</si>
  <si>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</si>
  <si>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</si>
  <si>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</si>
  <si>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</si>
  <si>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</si>
  <si>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</si>
  <si>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</si>
  <si>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</si>
  <si>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</si>
  <si>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</si>
  <si>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</si>
  <si>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</si>
  <si>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</si>
  <si>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</si>
  <si>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</si>
  <si>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</si>
  <si>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</si>
  <si>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</si>
  <si>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</si>
  <si>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</si>
  <si>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</si>
  <si>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</si>
  <si>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</si>
  <si>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</si>
  <si>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</si>
  <si>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</si>
  <si>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</si>
  <si>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</si>
  <si>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</si>
  <si>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</si>
  <si>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</si>
  <si>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</si>
  <si>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</si>
  <si>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</si>
  <si>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</si>
  <si>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</si>
  <si>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</si>
  <si>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</si>
  <si>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</si>
  <si>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</si>
  <si>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</si>
  <si>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</si>
  <si>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</si>
  <si>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</si>
  <si>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</si>
  <si>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</si>
  <si>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</si>
  <si>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</si>
  <si>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</si>
  <si>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</si>
  <si>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</si>
  <si>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</si>
  <si>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</si>
  <si>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</si>
  <si>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</si>
  <si>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</si>
  <si>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</si>
  <si>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</si>
  <si>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</si>
  <si>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</si>
  <si>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</si>
  <si>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</si>
  <si>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</si>
  <si>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</si>
  <si>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</si>
  <si>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</si>
  <si>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</si>
  <si>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</si>
  <si>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</si>
  <si>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</si>
  <si>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</si>
  <si>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</si>
  <si>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</si>
  <si>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</si>
  <si>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</si>
  <si>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</si>
  <si>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</si>
  <si>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</si>
  <si>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</si>
  <si>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</si>
  <si>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</si>
  <si>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</si>
  <si>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</si>
  <si>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</si>
  <si>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</si>
  <si>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</si>
  <si>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</si>
  <si>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</si>
  <si>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</si>
  <si>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</si>
  <si>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</si>
  <si>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</si>
  <si>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</si>
  <si>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</si>
  <si>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</si>
  <si>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</si>
  <si>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</si>
  <si>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</si>
  <si>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</si>
  <si>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</si>
  <si>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</si>
  <si>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</si>
  <si>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</si>
  <si>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</si>
  <si>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</si>
  <si>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</si>
  <si>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</si>
  <si>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</si>
  <si>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</si>
  <si>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</si>
  <si>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</si>
  <si>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</si>
  <si>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</si>
  <si>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</si>
  <si>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</si>
  <si>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</si>
  <si>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</si>
  <si>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</si>
  <si>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</si>
  <si>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</si>
  <si>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</si>
  <si>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</si>
  <si>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</si>
  <si>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</si>
  <si>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</si>
  <si>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</si>
  <si>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</si>
  <si>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</si>
  <si>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</si>
  <si>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</si>
  <si>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</si>
  <si>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</si>
  <si>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</si>
  <si>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</si>
  <si>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</si>
  <si>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</si>
  <si>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</si>
  <si>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</si>
  <si>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</si>
  <si>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</si>
  <si>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</si>
  <si>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</si>
  <si>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</si>
  <si>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</si>
  <si>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</si>
  <si>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</si>
  <si>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</si>
  <si>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</si>
  <si>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</si>
  <si>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</si>
  <si>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</si>
  <si>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</si>
  <si>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</si>
  <si>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</si>
  <si>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</si>
  <si>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</si>
  <si>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</si>
  <si>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</si>
  <si>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</si>
  <si>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</si>
  <si>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</si>
  <si>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</si>
  <si>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</si>
  <si>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</si>
  <si>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</si>
  <si>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</si>
  <si>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</si>
  <si>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</si>
  <si>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</si>
  <si>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</si>
  <si>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</si>
  <si>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</si>
  <si>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</si>
  <si>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</si>
  <si>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</si>
  <si>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</si>
  <si>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</si>
  <si>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</si>
  <si>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</si>
  <si>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</si>
  <si>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</si>
  <si>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</si>
  <si>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</si>
  <si>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</si>
  <si>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</si>
  <si>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</si>
  <si>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</si>
  <si>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</si>
  <si>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</si>
  <si>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</si>
  <si>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</si>
  <si>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</si>
  <si>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</si>
  <si>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</si>
  <si>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</si>
  <si>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</si>
  <si>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</si>
  <si>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</si>
  <si>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</si>
  <si>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</si>
  <si>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</si>
  <si>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</si>
  <si>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</si>
  <si>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</si>
  <si>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</si>
  <si>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</si>
  <si>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</si>
  <si>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</si>
  <si>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</si>
  <si>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</si>
  <si>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</si>
  <si>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</si>
  <si>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</si>
  <si>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</si>
  <si>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</si>
  <si>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</si>
  <si>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</si>
  <si>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</si>
  <si>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</si>
  <si>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</si>
  <si>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</si>
  <si>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</si>
  <si>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</si>
  <si>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</si>
  <si>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</si>
  <si>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</si>
  <si>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</si>
  <si>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</si>
  <si>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</si>
  <si>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</si>
  <si>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</si>
  <si>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</si>
  <si>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</si>
  <si>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</si>
  <si>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</si>
  <si>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</si>
  <si>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</si>
  <si>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</si>
  <si>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</si>
  <si>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</si>
  <si>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</si>
  <si>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</si>
  <si>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</si>
  <si>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</si>
  <si>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</si>
  <si>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</si>
  <si>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</si>
  <si>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</si>
  <si>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</si>
  <si>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</si>
  <si>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</si>
  <si>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</si>
  <si>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</si>
  <si>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</si>
  <si>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</si>
  <si>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</si>
  <si>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</si>
  <si>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</si>
  <si>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</si>
  <si>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</si>
  <si>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</si>
  <si>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</si>
  <si>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</si>
  <si>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</si>
  <si>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</si>
  <si>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</si>
  <si>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</si>
  <si>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</si>
  <si>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</si>
  <si>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</si>
  <si>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</si>
  <si>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</si>
  <si>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</si>
  <si>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</si>
  <si>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</si>
  <si>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</si>
  <si>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</si>
  <si>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</si>
  <si>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</si>
  <si>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</si>
  <si>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</si>
  <si>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</si>
  <si>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</si>
  <si>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</si>
  <si>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</si>
  <si>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</si>
  <si>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</si>
  <si>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</si>
  <si>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</si>
  <si>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</si>
  <si>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</si>
  <si>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</si>
  <si>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</si>
  <si>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</si>
  <si>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</si>
  <si>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</si>
  <si>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</si>
  <si>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</si>
  <si>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</si>
  <si>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</si>
  <si>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</si>
  <si>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</si>
  <si>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</si>
  <si>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</si>
  <si>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</si>
  <si>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</si>
  <si>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</si>
  <si>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</si>
  <si>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</si>
  <si>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</si>
  <si>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</si>
  <si>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</si>
  <si>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</si>
  <si>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</si>
  <si>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</si>
  <si>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</si>
  <si>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</si>
  <si>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</si>
  <si>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</si>
  <si>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</si>
  <si>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</si>
  <si>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</si>
  <si>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</si>
  <si>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</si>
  <si>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</si>
  <si>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</si>
  <si>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</si>
  <si>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</si>
  <si>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</si>
  <si>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</si>
  <si>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</si>
  <si>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</si>
  <si>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</si>
  <si>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</si>
  <si>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</si>
  <si>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</si>
  <si>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</si>
  <si>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</si>
  <si>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</si>
  <si>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</si>
  <si>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</si>
  <si>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</si>
  <si>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</si>
  <si>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</si>
  <si>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</si>
  <si>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</si>
  <si>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</si>
  <si>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</si>
  <si>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</si>
  <si>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</si>
  <si>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</si>
  <si>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</si>
  <si>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</si>
  <si>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</si>
  <si>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</si>
  <si>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</si>
  <si>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</si>
  <si>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</si>
  <si>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</si>
  <si>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</si>
  <si>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</si>
  <si>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</si>
  <si>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</si>
  <si>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</si>
  <si>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</si>
  <si>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</si>
  <si>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</si>
  <si>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</si>
  <si>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</si>
  <si>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</si>
  <si>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</si>
  <si>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</si>
  <si>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</si>
  <si>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</si>
  <si>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</si>
  <si>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</si>
  <si>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</si>
  <si>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</si>
  <si>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</si>
  <si>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</si>
  <si>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</si>
  <si>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</si>
  <si>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</si>
  <si>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</si>
  <si>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</si>
  <si>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</si>
  <si>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</si>
  <si>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</si>
  <si>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</si>
  <si>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</si>
  <si>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</si>
  <si>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</si>
  <si>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</si>
  <si>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</si>
  <si>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</si>
  <si>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</si>
  <si>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</si>
  <si>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</si>
  <si>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</si>
  <si>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</si>
  <si>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</si>
  <si>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</si>
  <si>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</si>
  <si>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</si>
  <si>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</si>
  <si>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</si>
  <si>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</si>
  <si>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</si>
  <si>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</si>
  <si>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</si>
  <si>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</si>
  <si>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</si>
  <si>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</si>
  <si>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</si>
  <si>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</si>
  <si>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</si>
  <si>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</si>
  <si>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</si>
  <si>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</si>
  <si>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</si>
  <si>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</si>
  <si>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</si>
  <si>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</si>
  <si>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</si>
  <si>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</si>
  <si>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</si>
  <si>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</si>
  <si>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</si>
  <si>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</si>
  <si>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</si>
  <si>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</si>
  <si>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</si>
  <si>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</si>
  <si>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</si>
  <si>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</si>
  <si>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</si>
  <si>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</si>
  <si>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</si>
  <si>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</si>
  <si>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</si>
  <si>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</si>
  <si>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</si>
  <si>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</si>
  <si>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</si>
  <si>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</si>
  <si>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</si>
  <si>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</si>
  <si>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</si>
  <si>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</si>
  <si>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</si>
  <si>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</si>
  <si>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</si>
  <si>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</si>
  <si>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</si>
  <si>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</si>
  <si>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</si>
  <si>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</si>
  <si>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</si>
  <si>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</si>
  <si>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</si>
  <si>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</si>
  <si>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</si>
  <si>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</si>
  <si>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</si>
  <si>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</si>
  <si>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</si>
  <si>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</si>
  <si>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</si>
  <si>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</si>
  <si>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</si>
  <si>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</si>
  <si>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</si>
  <si>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</si>
  <si>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</si>
  <si>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</si>
  <si>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</si>
  <si>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</si>
  <si>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</si>
  <si>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</si>
  <si>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</si>
  <si>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</si>
  <si>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</si>
  <si>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</si>
  <si>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</si>
  <si>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</si>
  <si>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</si>
  <si>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</si>
  <si>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</si>
  <si>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</si>
  <si>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</si>
  <si>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</si>
  <si>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</si>
  <si>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</si>
  <si>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</si>
  <si>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</si>
  <si>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</si>
  <si>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</si>
  <si>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</si>
  <si>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</si>
  <si>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</si>
  <si>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</si>
  <si>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</si>
  <si>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</si>
  <si>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</si>
  <si>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</si>
  <si>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</si>
  <si>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</si>
  <si>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</si>
  <si>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</si>
  <si>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</si>
  <si>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</si>
  <si>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</si>
  <si>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</si>
  <si>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</si>
  <si>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</si>
  <si>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</si>
  <si>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</si>
  <si>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</si>
  <si>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</si>
  <si>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</si>
  <si>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</si>
  <si>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</si>
  <si>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</si>
  <si>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</si>
  <si>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</si>
  <si>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</si>
  <si>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</si>
  <si>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</si>
  <si>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</si>
  <si>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</si>
  <si>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</si>
  <si>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</si>
  <si>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</si>
  <si>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</si>
  <si>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</si>
  <si>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</si>
  <si>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</si>
  <si>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</si>
  <si>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</si>
  <si>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</si>
  <si>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</si>
  <si>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</si>
  <si>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</si>
  <si>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</si>
  <si>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</si>
  <si>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</si>
  <si>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</si>
  <si>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</si>
  <si>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</si>
  <si>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</si>
  <si>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</si>
  <si>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</si>
  <si>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</si>
  <si>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</si>
  <si>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</si>
  <si>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</si>
  <si>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</si>
  <si>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</si>
  <si>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</si>
  <si>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</si>
  <si>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</si>
  <si>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</si>
  <si>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</si>
  <si>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</si>
  <si>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</si>
  <si>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</si>
  <si>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</si>
  <si>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</si>
  <si>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</si>
  <si>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</si>
  <si>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</si>
  <si>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</si>
  <si>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</si>
  <si>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</si>
  <si>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</si>
  <si>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</si>
  <si>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</si>
  <si>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</si>
  <si>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</si>
  <si>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</si>
  <si>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</si>
  <si>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</si>
  <si>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</si>
  <si>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</si>
  <si>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</si>
  <si>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</si>
  <si>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</si>
  <si>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</si>
  <si>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</si>
  <si>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</si>
  <si>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</si>
  <si>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</si>
  <si>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</si>
  <si>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</si>
  <si>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</si>
  <si>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</si>
  <si>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</si>
  <si>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</si>
  <si>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</si>
  <si>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</si>
  <si>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</si>
  <si>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</si>
  <si>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</si>
  <si>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</si>
  <si>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</si>
  <si>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</si>
  <si>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</si>
  <si>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</si>
  <si>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</si>
  <si>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</si>
  <si>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</si>
  <si>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</si>
  <si>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</si>
  <si>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</si>
  <si>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</si>
  <si>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</si>
  <si>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</si>
  <si>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</si>
  <si>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</si>
  <si>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</si>
  <si>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</si>
  <si>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</si>
  <si>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</si>
  <si>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</si>
  <si>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</si>
  <si>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</si>
  <si>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</si>
  <si>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</si>
  <si>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</si>
  <si>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</si>
  <si>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</si>
  <si>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</si>
  <si>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</si>
  <si>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</si>
  <si>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</si>
  <si>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</si>
  <si>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</si>
  <si>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</si>
  <si>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</si>
  <si>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</si>
  <si>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</si>
  <si>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</si>
  <si>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</si>
  <si>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</si>
  <si>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</si>
  <si>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</si>
  <si>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</si>
  <si>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</si>
  <si>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</si>
  <si>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</si>
  <si>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</si>
  <si>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</si>
  <si>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</si>
  <si>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</si>
  <si>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</si>
  <si>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</si>
  <si>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</si>
  <si>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</si>
  <si>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</si>
  <si>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</si>
  <si>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</si>
  <si>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</si>
  <si>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</si>
  <si>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</si>
  <si>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</si>
  <si>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</si>
  <si>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</si>
  <si>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</si>
  <si>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</si>
  <si>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</si>
  <si>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</si>
  <si>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</si>
  <si>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</si>
  <si>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</si>
  <si>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</si>
  <si>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</si>
  <si>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</si>
  <si>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</si>
  <si>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</si>
  <si>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</si>
  <si>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</si>
  <si>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</si>
  <si>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</si>
  <si>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</si>
  <si>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</si>
  <si>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</si>
  <si>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</si>
  <si>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</si>
  <si>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</si>
  <si>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</si>
  <si>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</si>
  <si>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</si>
  <si>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</si>
  <si>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</si>
  <si>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</si>
  <si>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</si>
  <si>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</si>
  <si>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</si>
  <si>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</si>
  <si>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</si>
  <si>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</si>
  <si>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</si>
  <si>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</si>
  <si>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</si>
  <si>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</si>
  <si>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</si>
  <si>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</si>
  <si>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</si>
  <si>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</si>
  <si>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</si>
  <si>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</si>
  <si>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</si>
  <si>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</si>
  <si>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</si>
  <si>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</si>
  <si>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</si>
  <si>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</si>
  <si>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</si>
  <si>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</si>
  <si>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</si>
  <si>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</si>
  <si>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</si>
  <si>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</si>
  <si>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</si>
  <si>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</si>
  <si>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</si>
  <si>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</si>
  <si>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</si>
  <si>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</si>
  <si>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</si>
  <si>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</si>
  <si>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</si>
  <si>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</si>
  <si>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</si>
  <si>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</si>
  <si>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</si>
  <si>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</si>
  <si>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</si>
  <si>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</si>
  <si>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</si>
  <si>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</si>
  <si>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</si>
  <si>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</si>
  <si>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</si>
  <si>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</si>
  <si>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</si>
  <si>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</si>
  <si>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</si>
  <si>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</si>
  <si>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</si>
  <si>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</si>
  <si>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</si>
  <si>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</si>
  <si>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</si>
  <si>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</si>
  <si>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</si>
  <si>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</si>
  <si>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</si>
  <si>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</si>
  <si>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</si>
  <si>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</si>
  <si>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</si>
  <si>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</si>
  <si>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</si>
  <si>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</si>
  <si>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</si>
  <si>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</si>
  <si>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</si>
  <si>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</si>
  <si>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</si>
  <si>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</si>
  <si>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</si>
  <si>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</si>
  <si>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</si>
  <si>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</si>
  <si>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</si>
  <si>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</si>
  <si>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</si>
  <si>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</si>
  <si>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</si>
  <si>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</si>
  <si>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</si>
  <si>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</si>
  <si>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</si>
  <si>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</si>
  <si>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</si>
  <si>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</si>
  <si>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</si>
  <si>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</si>
  <si>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</si>
  <si>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</si>
  <si>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</si>
  <si>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</si>
  <si>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</si>
  <si>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</si>
  <si>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</si>
  <si>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</si>
  <si>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</si>
  <si>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</si>
  <si>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</si>
  <si>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</si>
  <si>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</si>
  <si>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</si>
  <si>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</si>
  <si>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</si>
  <si>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</si>
  <si>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</si>
  <si>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</si>
  <si>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</si>
  <si>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</si>
  <si>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</si>
  <si>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</si>
  <si>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</si>
  <si>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</si>
  <si>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</si>
  <si>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</si>
  <si>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</si>
  <si>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</si>
  <si>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</si>
  <si>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</si>
  <si>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</si>
  <si>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</si>
  <si>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</si>
  <si>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</si>
  <si>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</si>
  <si>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</si>
  <si>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</si>
  <si>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</si>
  <si>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</si>
  <si>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</si>
  <si>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</si>
  <si>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</si>
  <si>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</si>
  <si>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</si>
  <si>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</si>
  <si>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</si>
  <si>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</si>
  <si>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</si>
  <si>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</si>
  <si>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</si>
  <si>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</si>
  <si>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</si>
  <si>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</si>
  <si>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</si>
  <si>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</si>
  <si>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</si>
  <si>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</si>
  <si>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</si>
  <si>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</si>
  <si>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</si>
  <si>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</si>
  <si>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</si>
  <si>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</si>
  <si>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</si>
  <si>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</si>
  <si>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</si>
  <si>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</si>
  <si>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</si>
  <si>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</si>
  <si>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</si>
  <si>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</si>
  <si>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</si>
  <si>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</si>
  <si>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</si>
  <si>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</si>
  <si>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</si>
  <si>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</si>
  <si>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</si>
  <si>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</si>
  <si>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</si>
  <si>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</si>
  <si>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</si>
  <si>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</si>
  <si>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</si>
  <si>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</si>
  <si>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</si>
  <si>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</si>
  <si>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</si>
  <si>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</si>
  <si>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</si>
  <si>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</si>
  <si>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</si>
  <si>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</si>
  <si>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</si>
  <si>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</si>
  <si>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</si>
  <si>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</si>
  <si>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</si>
  <si>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</si>
  <si>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</si>
  <si>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</si>
  <si>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</si>
  <si>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</si>
  <si>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</si>
  <si>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</si>
  <si>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</si>
  <si>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</si>
  <si>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</si>
  <si>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</si>
  <si>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</si>
  <si>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</si>
  <si>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</si>
  <si>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</si>
  <si>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</si>
  <si>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</si>
  <si>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</si>
  <si>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</si>
  <si>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</si>
  <si>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</si>
  <si>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</si>
  <si>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</si>
  <si>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</si>
  <si>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</si>
  <si>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</si>
  <si>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</si>
  <si>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</si>
  <si>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</si>
  <si>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</si>
  <si>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</si>
  <si>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</si>
  <si>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</si>
  <si>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</si>
  <si>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</si>
  <si>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</si>
  <si>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</si>
  <si>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</si>
  <si>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</si>
  <si>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</si>
  <si>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</si>
  <si>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</si>
  <si>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</si>
  <si>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</si>
  <si>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</si>
  <si>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</si>
  <si>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</si>
  <si>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</si>
  <si>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</si>
  <si>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</si>
  <si>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</si>
  <si>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</si>
  <si>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</si>
  <si>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</si>
  <si>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</si>
  <si>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</si>
  <si>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</si>
  <si>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</si>
  <si>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</si>
  <si>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</si>
  <si>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</si>
  <si>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</si>
  <si>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</si>
  <si>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</si>
  <si>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</si>
  <si>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</si>
  <si>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</si>
  <si>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</si>
  <si>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</si>
  <si>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</si>
  <si>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</si>
  <si>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</si>
  <si>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</si>
  <si>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</si>
  <si>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</si>
  <si>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</si>
  <si>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</si>
  <si>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</si>
  <si>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</si>
  <si>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</si>
  <si>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</si>
  <si>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</si>
  <si>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</si>
  <si>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</si>
  <si>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</si>
  <si>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</si>
  <si>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</si>
  <si>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</si>
  <si>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</si>
  <si>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</si>
  <si>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</si>
  <si>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</si>
  <si>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</si>
  <si>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</si>
  <si>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</si>
  <si>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</si>
  <si>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</si>
  <si>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</si>
  <si>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</si>
  <si>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</si>
  <si>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</si>
  <si>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</si>
  <si>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</si>
  <si>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</si>
  <si>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</si>
  <si>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</si>
  <si>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</si>
  <si>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</si>
  <si>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</si>
  <si>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</si>
  <si>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</si>
  <si>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</si>
  <si>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</si>
  <si>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</si>
  <si>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</si>
  <si>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</si>
  <si>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</si>
  <si>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</si>
  <si>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</si>
  <si>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</si>
  <si>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</si>
  <si>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</si>
  <si>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</si>
  <si>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</si>
  <si>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</si>
  <si>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</si>
  <si>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</si>
  <si>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</si>
  <si>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</si>
  <si>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</si>
  <si>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</si>
  <si>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</si>
  <si>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</si>
  <si>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</si>
  <si>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</si>
  <si>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</si>
  <si>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</si>
  <si>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</si>
  <si>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</si>
  <si>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</si>
  <si>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</si>
  <si>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</si>
  <si>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</si>
  <si>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</si>
  <si>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</si>
  <si>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</si>
  <si>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</si>
  <si>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</si>
  <si>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</si>
  <si>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</si>
  <si>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</si>
  <si>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</si>
  <si>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</si>
  <si>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</si>
  <si>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</si>
  <si>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</si>
  <si>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</si>
  <si>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</si>
  <si>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</si>
  <si>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</si>
  <si>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</si>
  <si>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</si>
  <si>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</si>
  <si>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</si>
  <si>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</si>
  <si>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</si>
  <si>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</si>
  <si>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</si>
  <si>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</si>
  <si>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</si>
  <si>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</si>
  <si>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</si>
  <si>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</si>
  <si>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</si>
  <si>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</si>
  <si>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</si>
  <si>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</si>
  <si>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</si>
  <si>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</si>
  <si>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</si>
  <si>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</si>
  <si>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</si>
  <si>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</si>
  <si>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</si>
  <si>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</si>
  <si>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</si>
  <si>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</si>
  <si>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</si>
  <si>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</si>
  <si>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</si>
  <si>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</si>
  <si>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</si>
  <si>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</si>
  <si>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</si>
  <si>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</si>
  <si>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</si>
  <si>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</si>
  <si>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</si>
  <si>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</si>
  <si>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</si>
  <si>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</si>
  <si>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</si>
  <si>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</si>
  <si>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</si>
  <si>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</si>
  <si>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</si>
  <si>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</si>
  <si>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</si>
  <si>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</si>
  <si>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</si>
  <si>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</si>
  <si>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</si>
  <si>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</si>
  <si>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</si>
  <si>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</si>
  <si>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</si>
  <si>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</si>
  <si>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</si>
  <si>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</si>
  <si>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</si>
  <si>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</si>
  <si>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</si>
  <si>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</si>
  <si>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</si>
  <si>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</si>
  <si>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</si>
  <si>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</si>
  <si>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</si>
  <si>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</si>
  <si>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</si>
  <si>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</si>
  <si>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</si>
  <si>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</si>
  <si>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</si>
  <si>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</si>
  <si>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</si>
  <si>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</si>
  <si>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</si>
  <si>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</si>
  <si>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</si>
  <si>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</si>
  <si>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</si>
  <si>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</si>
  <si>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</si>
  <si>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</si>
  <si>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</si>
  <si>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</si>
  <si>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</si>
  <si>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</si>
  <si>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</si>
  <si>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</si>
  <si>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</si>
  <si>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</si>
  <si>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</si>
  <si>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</si>
  <si>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</si>
  <si>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</si>
  <si>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</si>
  <si>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</si>
  <si>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</si>
  <si>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</si>
  <si>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</si>
  <si>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</si>
  <si>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</si>
  <si>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</si>
  <si>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</si>
  <si>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</si>
  <si>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</si>
  <si>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</si>
  <si>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</si>
  <si>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</si>
  <si>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</si>
  <si>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</si>
  <si>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</si>
  <si>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</si>
  <si>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</si>
  <si>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</si>
  <si>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</si>
  <si>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</si>
  <si>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</si>
  <si>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</si>
  <si>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</si>
  <si>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</si>
  <si>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</si>
  <si>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</si>
  <si>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</si>
  <si>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</si>
  <si>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</si>
  <si>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</si>
  <si>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</si>
  <si>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</si>
  <si>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</si>
  <si>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</si>
  <si>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</si>
  <si>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</si>
  <si>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</si>
  <si>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</si>
  <si>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</si>
  <si>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</si>
  <si>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</si>
  <si>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</si>
  <si>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</si>
  <si>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</si>
  <si>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</si>
  <si>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</si>
  <si>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</si>
  <si>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</si>
  <si>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</si>
  <si>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</si>
  <si>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</si>
  <si>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</si>
  <si>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</si>
  <si>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</si>
  <si>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</si>
  <si>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</si>
  <si>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</si>
  <si>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</si>
  <si>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</si>
  <si>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</si>
  <si>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</si>
  <si>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</si>
  <si>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</si>
  <si>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</si>
  <si>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</si>
  <si>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</si>
  <si>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</si>
  <si>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</si>
  <si>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</si>
  <si>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</si>
  <si>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</si>
  <si>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</si>
  <si>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</si>
  <si>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</si>
  <si>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</si>
  <si>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</si>
  <si>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</si>
  <si>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</si>
  <si>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</si>
  <si>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</si>
  <si>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</si>
  <si>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</si>
  <si>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</si>
  <si>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</si>
  <si>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</si>
  <si>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</si>
  <si>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</si>
  <si>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</si>
  <si>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</si>
  <si>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</si>
  <si>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</si>
  <si>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</si>
  <si>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</si>
  <si>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</si>
  <si>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</si>
  <si>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</si>
  <si>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</si>
  <si>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</si>
  <si>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</si>
  <si>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</si>
  <si>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</si>
  <si>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</si>
  <si>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</si>
  <si>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</si>
  <si>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</si>
  <si>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</si>
  <si>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</si>
  <si>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</si>
  <si>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</si>
  <si>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</si>
  <si>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</si>
  <si>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</si>
  <si>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</si>
  <si>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</si>
  <si>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</si>
  <si>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</si>
  <si>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</si>
  <si>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</si>
  <si>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</si>
  <si>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</si>
  <si>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</si>
  <si>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</si>
  <si>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</si>
  <si>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</si>
  <si>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</si>
  <si>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</si>
  <si>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</si>
  <si>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</si>
  <si>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</si>
  <si>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</si>
  <si>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</si>
  <si>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</si>
  <si>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</si>
  <si>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</si>
  <si>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</si>
  <si>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</si>
  <si>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</si>
  <si>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</si>
  <si>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</si>
  <si>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</si>
  <si>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</si>
  <si>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</si>
  <si>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</si>
  <si>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</si>
  <si>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</si>
  <si>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</si>
  <si>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</si>
  <si>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</si>
  <si>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</si>
  <si>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</si>
  <si>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</si>
  <si>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</si>
  <si>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</si>
  <si>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</si>
  <si>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</si>
  <si>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</si>
  <si>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</si>
  <si>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</si>
  <si>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</si>
  <si>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</si>
  <si>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</si>
  <si>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</si>
  <si>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</si>
  <si>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</si>
  <si>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</si>
  <si>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</si>
  <si>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</si>
  <si>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</si>
  <si>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</si>
  <si>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</si>
  <si>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</si>
  <si>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</si>
  <si>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</si>
  <si>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</si>
  <si>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</si>
  <si>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</si>
  <si>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</si>
  <si>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</si>
  <si>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</si>
  <si>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</si>
  <si>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</si>
  <si>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</si>
  <si>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</si>
  <si>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</si>
  <si>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</si>
  <si>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</si>
  <si>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</si>
  <si>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</si>
  <si>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</si>
  <si>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</si>
  <si>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</si>
  <si>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</si>
  <si>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</si>
  <si>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</si>
  <si>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</si>
  <si>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</si>
  <si>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</si>
  <si>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</si>
  <si>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</si>
  <si>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</si>
  <si>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</si>
  <si>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</si>
  <si>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</si>
  <si>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</si>
  <si>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</si>
  <si>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</si>
  <si>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</si>
  <si>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</si>
  <si>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</si>
  <si>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</si>
  <si>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</si>
  <si>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</si>
  <si>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</si>
  <si>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</si>
  <si>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</si>
  <si>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</si>
  <si>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</si>
  <si>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</si>
  <si>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</si>
  <si>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</si>
  <si>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</si>
  <si>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</si>
  <si>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</si>
  <si>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</si>
  <si>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</si>
  <si>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</si>
  <si>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</si>
  <si>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</si>
  <si>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</si>
  <si>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</si>
  <si>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</si>
  <si>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</si>
  <si>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</si>
  <si>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</si>
  <si>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</si>
  <si>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</si>
  <si>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</si>
  <si>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</si>
  <si>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</si>
  <si>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</si>
  <si>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</si>
  <si>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</si>
  <si>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</si>
  <si>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</si>
  <si>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</si>
  <si>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</si>
  <si>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</si>
  <si>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</si>
  <si>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</si>
  <si>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</si>
  <si>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</si>
  <si>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</si>
  <si>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</si>
  <si>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</si>
  <si>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</si>
  <si>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</si>
  <si>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</si>
  <si>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</si>
  <si>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</si>
  <si>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</si>
  <si>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</si>
  <si>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</si>
  <si>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</si>
  <si>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</si>
  <si>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</si>
  <si>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</si>
  <si>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</si>
  <si>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</si>
  <si>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</si>
  <si>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</si>
  <si>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</si>
  <si>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</si>
  <si>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</si>
  <si>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</si>
  <si>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</si>
  <si>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</si>
  <si>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</si>
  <si>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</si>
  <si>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</si>
  <si>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</si>
  <si>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</si>
  <si>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</si>
  <si>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</si>
  <si>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</si>
  <si>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</si>
  <si>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</si>
  <si>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</si>
  <si>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</si>
  <si>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</si>
  <si>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</si>
  <si>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</si>
  <si>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</si>
  <si>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</si>
  <si>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</si>
  <si>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</si>
  <si>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</si>
  <si>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</si>
  <si>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</si>
  <si>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</si>
  <si>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</si>
  <si>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</si>
  <si>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</si>
  <si>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</si>
  <si>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</si>
  <si>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</si>
  <si>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</si>
  <si>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</si>
  <si>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</si>
  <si>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</si>
  <si>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</si>
  <si>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</si>
  <si>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</si>
  <si>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</si>
  <si>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</si>
  <si>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</si>
  <si>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</si>
  <si>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</si>
  <si>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</si>
  <si>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</si>
  <si>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</si>
  <si>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</si>
  <si>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</si>
  <si>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</si>
  <si>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</si>
  <si>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</si>
  <si>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</si>
  <si>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</si>
  <si>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</si>
  <si>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</si>
  <si>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</si>
  <si>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</si>
  <si>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</si>
  <si>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</si>
  <si>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</si>
  <si>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</si>
  <si>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</si>
  <si>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</si>
  <si>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</si>
  <si>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</si>
  <si>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</si>
  <si>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</si>
  <si>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</si>
  <si>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</si>
  <si>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</si>
  <si>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</si>
  <si>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</si>
  <si>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</si>
  <si>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</si>
  <si>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</si>
  <si>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</si>
  <si>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</si>
  <si>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</si>
  <si>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</si>
  <si>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</si>
  <si>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</si>
  <si>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</si>
  <si>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</si>
  <si>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</si>
  <si>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</si>
  <si>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</si>
  <si>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</si>
  <si>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</si>
  <si>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</si>
  <si>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</si>
  <si>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</si>
  <si>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</si>
  <si>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</si>
  <si>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</si>
  <si>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</si>
  <si>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</si>
  <si>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</si>
  <si>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</si>
  <si>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</si>
  <si>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</si>
  <si>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</si>
  <si>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</si>
  <si>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</si>
  <si>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</si>
  <si>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</si>
  <si>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</si>
  <si>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</si>
  <si>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</si>
  <si>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</si>
  <si>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</si>
  <si>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</si>
  <si>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</si>
  <si>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</si>
  <si>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</si>
  <si>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</si>
  <si>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</si>
  <si>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</si>
  <si>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</si>
  <si>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</si>
  <si>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</si>
  <si>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</si>
  <si>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</si>
  <si>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</si>
  <si>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</si>
  <si>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</si>
  <si>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</si>
  <si>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</si>
  <si>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</si>
  <si>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</si>
  <si>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</si>
  <si>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</si>
  <si>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</si>
  <si>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</si>
  <si>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</si>
  <si>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</si>
  <si>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</si>
  <si>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</si>
  <si>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</si>
  <si>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</si>
  <si>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</si>
  <si>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</si>
  <si>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</si>
  <si>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</si>
  <si>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</si>
  <si>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</si>
  <si>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</si>
  <si>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</si>
  <si>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</si>
  <si>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</si>
  <si>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</si>
  <si>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</si>
  <si>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</si>
  <si>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</si>
  <si>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</si>
  <si>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</si>
  <si>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</si>
  <si>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</si>
  <si>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</si>
  <si>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</si>
  <si>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</si>
  <si>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</si>
  <si>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</si>
  <si>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</si>
  <si>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</si>
  <si>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</si>
  <si>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</si>
  <si>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</si>
  <si>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</si>
  <si>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</si>
  <si>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</si>
  <si>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</si>
  <si>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</si>
  <si>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</si>
  <si>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</si>
  <si>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</si>
  <si>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</si>
  <si>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</si>
  <si>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</si>
  <si>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</si>
  <si>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</si>
  <si>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</si>
  <si>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</si>
  <si>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</si>
  <si>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</si>
  <si>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</si>
  <si>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</si>
  <si>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</si>
  <si>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</si>
  <si>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</si>
  <si>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</si>
  <si>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</si>
  <si>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</si>
  <si>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</si>
  <si>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</si>
  <si>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</si>
  <si>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</si>
  <si>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</si>
  <si>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</si>
  <si>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</si>
  <si>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</si>
  <si>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</si>
  <si>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</si>
  <si>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</si>
  <si>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</si>
  <si>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</si>
  <si>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</si>
  <si>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</si>
  <si>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</si>
  <si>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</si>
  <si>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</si>
  <si>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</si>
  <si>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</si>
  <si>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</si>
  <si>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</si>
  <si>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</si>
  <si>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</si>
  <si>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</si>
  <si>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</si>
  <si>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</si>
  <si>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</si>
  <si>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</si>
  <si>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</si>
  <si>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</si>
  <si>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</si>
  <si>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</si>
  <si>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</si>
  <si>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</si>
  <si>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</si>
  <si>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</si>
  <si>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</si>
  <si>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</si>
  <si>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</si>
  <si>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</si>
  <si>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</si>
  <si>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</si>
  <si>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</si>
  <si>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</si>
  <si>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</si>
  <si>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</si>
  <si>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</si>
  <si>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</si>
  <si>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</si>
  <si>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</si>
  <si>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</si>
  <si>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</si>
  <si>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</si>
  <si>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</si>
  <si>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</si>
  <si>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</si>
  <si>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</si>
  <si>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</si>
  <si>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</si>
  <si>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</si>
  <si>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</si>
  <si>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</si>
  <si>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</si>
  <si>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</si>
  <si>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</si>
  <si>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</si>
  <si>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</si>
  <si>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</si>
  <si>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</si>
  <si>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</si>
  <si>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</si>
  <si>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</si>
  <si>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</si>
  <si>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</si>
  <si>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</si>
  <si>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</si>
  <si>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</si>
  <si>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</si>
  <si>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</si>
  <si>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</si>
  <si>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</si>
  <si>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</si>
  <si>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</si>
  <si>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</si>
  <si>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</si>
  <si>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</si>
  <si>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</si>
  <si>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</si>
  <si>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</si>
  <si>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</si>
  <si>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</si>
  <si>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</si>
  <si>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</si>
  <si>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</si>
  <si>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</si>
  <si>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</si>
  <si>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</si>
  <si>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</si>
  <si>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</si>
  <si>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</si>
  <si>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</si>
  <si>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</si>
  <si>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</si>
  <si>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</si>
  <si>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</si>
  <si>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</si>
  <si>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</si>
  <si>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</si>
  <si>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</si>
  <si>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</si>
  <si>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</si>
  <si>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</si>
  <si>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</si>
  <si>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</si>
  <si>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</si>
  <si>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</si>
  <si>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</si>
  <si>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</si>
  <si>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</si>
  <si>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</si>
  <si>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</si>
  <si>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</si>
  <si>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</si>
  <si>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</si>
  <si>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</si>
  <si>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</si>
  <si>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</si>
  <si>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</si>
  <si>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</si>
  <si>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</si>
  <si>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</si>
  <si>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</si>
  <si>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</si>
  <si>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</si>
  <si>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</si>
  <si>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</si>
  <si>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</si>
  <si>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</si>
  <si>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</si>
  <si>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</si>
  <si>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</si>
  <si>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</si>
  <si>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</si>
  <si>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</si>
  <si>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</si>
  <si>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</si>
  <si>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</si>
  <si>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</si>
  <si>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</si>
  <si>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</si>
  <si>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</si>
  <si>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</si>
  <si>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</si>
  <si>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</si>
  <si>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</si>
  <si>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</si>
  <si>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</si>
  <si>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</si>
  <si>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</si>
  <si>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</si>
  <si>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</si>
  <si>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</si>
  <si>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</si>
  <si>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</si>
  <si>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</si>
  <si>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</si>
  <si>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</si>
  <si>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</si>
  <si>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</si>
  <si>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</si>
  <si>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</si>
  <si>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</si>
  <si>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</si>
  <si>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</si>
  <si>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</si>
  <si>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</si>
  <si>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</si>
  <si>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</si>
  <si>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</si>
  <si>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</si>
  <si>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</si>
  <si>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</si>
  <si>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</si>
  <si>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</si>
  <si>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</si>
  <si>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</si>
  <si>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</si>
  <si>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</si>
  <si>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</si>
  <si>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</si>
  <si>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</si>
  <si>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</si>
  <si>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</si>
  <si>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</si>
  <si>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</si>
  <si>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</si>
  <si>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</si>
  <si>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</si>
  <si>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</si>
  <si>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</si>
  <si>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</si>
  <si>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</si>
  <si>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</si>
  <si>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</si>
  <si>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</si>
  <si>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</si>
  <si>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</si>
  <si>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</si>
  <si>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</si>
  <si>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</si>
  <si>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</si>
  <si>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</si>
  <si>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</si>
  <si>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</si>
  <si>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</si>
  <si>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</si>
  <si>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</si>
  <si>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</si>
  <si>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</si>
  <si>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</si>
  <si>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</si>
  <si>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</si>
  <si>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</si>
  <si>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</si>
  <si>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</si>
  <si>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</si>
  <si>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</si>
  <si>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</si>
  <si>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</si>
  <si>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</si>
  <si>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</si>
  <si>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</si>
  <si>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</si>
  <si>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</si>
  <si>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</si>
  <si>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</si>
  <si>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</si>
  <si>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</si>
  <si>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</si>
  <si>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</si>
  <si>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</si>
  <si>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</si>
  <si>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</si>
  <si>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</si>
  <si>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</si>
  <si>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</si>
  <si>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</si>
  <si>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</si>
  <si>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</si>
  <si>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</si>
  <si>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</si>
  <si>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</si>
  <si>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</si>
  <si>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</si>
  <si>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</si>
  <si>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</si>
  <si>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</si>
  <si>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</si>
  <si>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</si>
  <si>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</si>
  <si>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</si>
  <si>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</si>
  <si>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</si>
  <si>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</si>
  <si>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</si>
  <si>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</si>
  <si>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</si>
  <si>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</si>
  <si>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</si>
  <si>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</si>
  <si>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</si>
  <si>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</si>
  <si>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</si>
  <si>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</si>
  <si>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</si>
  <si>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</si>
  <si>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</si>
  <si>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</si>
  <si>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</si>
  <si>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</si>
  <si>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</si>
  <si>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</si>
  <si>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</si>
  <si>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</si>
  <si>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</si>
  <si>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</si>
  <si>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</si>
  <si>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</si>
  <si>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</si>
  <si>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</si>
  <si>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</si>
  <si>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</si>
  <si>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</si>
  <si>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</si>
  <si>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</si>
  <si>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</si>
  <si>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</si>
  <si>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</si>
  <si>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</si>
  <si>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</si>
  <si>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</si>
  <si>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</si>
  <si>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</si>
  <si>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</si>
  <si>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</si>
  <si>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</si>
  <si>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</si>
  <si>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</si>
  <si>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</si>
  <si>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</si>
  <si>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</si>
  <si>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</si>
  <si>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</si>
  <si>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</si>
  <si>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</si>
  <si>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</si>
  <si>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</si>
  <si>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</si>
  <si>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</si>
  <si>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</si>
  <si>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</si>
  <si>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</si>
  <si>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</si>
  <si>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</si>
  <si>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</si>
  <si>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</si>
  <si>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</si>
  <si>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</si>
  <si>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</si>
  <si>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</si>
  <si>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</si>
  <si>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</si>
  <si>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</si>
  <si>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</si>
  <si>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</si>
  <si>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</si>
  <si>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</si>
  <si>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</si>
  <si>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</si>
  <si>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</si>
  <si>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</si>
  <si>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</si>
  <si>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</si>
  <si>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</si>
  <si>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</si>
  <si>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</si>
  <si>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</si>
  <si>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</si>
  <si>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</si>
  <si>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</si>
  <si>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</si>
  <si>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</si>
  <si>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</si>
  <si>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</si>
  <si>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</si>
  <si>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</si>
  <si>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</si>
  <si>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</si>
  <si>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</si>
  <si>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</si>
  <si>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</si>
  <si>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</si>
  <si>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</si>
  <si>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</si>
  <si>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</si>
  <si>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</si>
  <si>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</si>
  <si>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</si>
  <si>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</si>
  <si>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</si>
  <si>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</si>
  <si>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</si>
  <si>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</si>
  <si>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</si>
  <si>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</si>
  <si>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</si>
  <si>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</si>
  <si>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</si>
  <si>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</si>
  <si>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</si>
  <si>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</si>
  <si>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</si>
  <si>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</si>
  <si>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</si>
  <si>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</si>
  <si>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</si>
  <si>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</si>
  <si>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</si>
  <si>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</si>
  <si>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</si>
  <si>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</si>
  <si>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</si>
  <si>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</si>
  <si>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</si>
  <si>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</si>
  <si>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</si>
  <si>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</si>
  <si>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</si>
  <si>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</si>
  <si>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</si>
  <si>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</si>
  <si>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</si>
  <si>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</si>
  <si>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</si>
  <si>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</si>
  <si>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</si>
  <si>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</si>
  <si>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</si>
  <si>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</si>
  <si>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</si>
  <si>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</si>
  <si>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</si>
  <si>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</si>
  <si>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</si>
  <si>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</si>
  <si>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</si>
  <si>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</si>
  <si>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</si>
  <si>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</si>
  <si>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</si>
  <si>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</si>
  <si>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</si>
  <si>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</si>
  <si>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</si>
  <si>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</si>
  <si>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</si>
  <si>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</si>
  <si>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</si>
  <si>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</si>
  <si>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</si>
  <si>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</si>
  <si>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</si>
  <si>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</si>
  <si>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</si>
  <si>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</si>
  <si>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</si>
  <si>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</si>
  <si>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</si>
  <si>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</si>
  <si>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</si>
  <si>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</si>
  <si>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</si>
  <si>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</si>
  <si>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</si>
  <si>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</si>
  <si>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</si>
  <si>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</si>
  <si>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</si>
  <si>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</si>
  <si>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</si>
  <si>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</si>
  <si>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</si>
  <si>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</si>
  <si>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</si>
  <si>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</si>
  <si>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</si>
  <si>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</si>
  <si>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</si>
  <si>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</si>
  <si>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</si>
  <si>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</si>
  <si>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</si>
  <si>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</si>
  <si>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</si>
  <si>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</si>
  <si>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</si>
  <si>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</si>
  <si>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</si>
  <si>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</si>
  <si>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</si>
  <si>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</si>
  <si>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</si>
  <si>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</si>
  <si>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</si>
  <si>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</si>
  <si>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</si>
  <si>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</si>
  <si>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</si>
  <si>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</si>
  <si>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</si>
  <si>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</si>
  <si>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</si>
  <si>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</si>
  <si>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</si>
  <si>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</si>
  <si>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</si>
  <si>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</si>
  <si>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</si>
  <si>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</si>
  <si>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</si>
  <si>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</si>
  <si>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</si>
  <si>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</si>
  <si>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</si>
  <si>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</si>
  <si>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</si>
  <si>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</si>
  <si>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</si>
  <si>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</si>
  <si>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</si>
  <si>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</si>
  <si>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</si>
  <si>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</si>
  <si>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</si>
  <si>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</si>
  <si>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</si>
  <si>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</si>
  <si>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</si>
  <si>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</si>
  <si>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</si>
  <si>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</si>
  <si>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</si>
  <si>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</si>
  <si>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</si>
  <si>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</si>
  <si>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</si>
  <si>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</si>
  <si>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</si>
  <si>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</si>
  <si>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</si>
  <si>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</si>
  <si>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</si>
  <si>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</si>
  <si>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</si>
  <si>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</si>
  <si>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</si>
  <si>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</si>
  <si>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</si>
  <si>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</si>
  <si>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</si>
  <si>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</si>
  <si>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</si>
  <si>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</si>
  <si>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</si>
  <si>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</si>
  <si>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</si>
  <si>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</si>
  <si>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</si>
  <si>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</si>
  <si>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</si>
  <si>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</si>
  <si>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</si>
  <si>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</si>
  <si>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</si>
  <si>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</si>
  <si>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</si>
  <si>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</si>
  <si>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</si>
  <si>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</si>
  <si>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</si>
  <si>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</si>
  <si>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</si>
  <si>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</si>
  <si>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</si>
  <si>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</si>
  <si>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</si>
  <si>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</si>
  <si>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</si>
  <si>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</si>
  <si>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</si>
  <si>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</si>
  <si>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</si>
  <si>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</si>
  <si>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</si>
  <si>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</si>
  <si>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</si>
  <si>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</si>
  <si>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</si>
  <si>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</si>
  <si>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</si>
  <si>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</si>
  <si>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</si>
  <si>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</si>
  <si>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</si>
  <si>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</si>
  <si>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</si>
  <si>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</si>
  <si>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</si>
  <si>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</si>
  <si>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</si>
  <si>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</si>
  <si>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</si>
  <si>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</si>
  <si>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</si>
  <si>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</si>
  <si>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</si>
  <si>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</si>
  <si>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</si>
  <si>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</si>
  <si>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</si>
  <si>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</si>
  <si>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</si>
  <si>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</si>
  <si>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</si>
  <si>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</si>
  <si>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</si>
  <si>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</si>
  <si>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</si>
  <si>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</si>
  <si>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</si>
  <si>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</si>
  <si>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</si>
  <si>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</si>
  <si>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</si>
  <si>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</si>
  <si>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</si>
  <si>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</si>
  <si>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</si>
  <si>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</si>
  <si>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</si>
  <si>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</si>
  <si>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</si>
  <si>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</si>
  <si>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</si>
  <si>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</si>
  <si>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</si>
  <si>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</si>
  <si>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</si>
  <si>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</si>
  <si>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</si>
  <si>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</si>
  <si>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</si>
  <si>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</si>
  <si>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</si>
  <si>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</si>
  <si>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</si>
  <si>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</si>
  <si>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</si>
  <si>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</si>
  <si>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</si>
  <si>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</si>
  <si>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</si>
  <si>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</si>
  <si>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</si>
  <si>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</si>
  <si>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</si>
  <si>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</si>
  <si>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</si>
  <si>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</si>
  <si>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</si>
  <si>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</si>
  <si>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</si>
  <si>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</si>
  <si>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</si>
  <si>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</si>
  <si>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</si>
  <si>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</si>
  <si>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</si>
  <si>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</si>
  <si>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</si>
  <si>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</si>
  <si>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</si>
  <si>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</si>
  <si>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</si>
  <si>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</si>
  <si>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</si>
  <si>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</si>
  <si>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</si>
  <si>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</si>
  <si>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</si>
  <si>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</si>
  <si>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</si>
  <si>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</si>
  <si>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</si>
  <si>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</si>
  <si>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</si>
  <si>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</si>
  <si>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</si>
  <si>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</si>
  <si>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</si>
  <si>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</si>
  <si>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</si>
  <si>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</si>
  <si>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</si>
  <si>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</si>
  <si>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</si>
  <si>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</si>
  <si>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</si>
  <si>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</si>
  <si>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</si>
  <si>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</si>
  <si>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</si>
  <si>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</si>
  <si>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</si>
  <si>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</si>
  <si>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</si>
  <si>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</si>
  <si>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</si>
  <si>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</si>
  <si>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</si>
  <si>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</si>
  <si>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</si>
  <si>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</si>
  <si>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</si>
  <si>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</si>
  <si>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</si>
  <si>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</si>
  <si>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</si>
  <si>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</si>
  <si>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</si>
  <si>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</si>
  <si>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</si>
  <si>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</si>
  <si>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</si>
  <si>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</si>
  <si>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</si>
  <si>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</si>
  <si>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</si>
  <si>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</si>
  <si>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</si>
  <si>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</si>
  <si>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</si>
  <si>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</si>
  <si>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</si>
  <si>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</si>
  <si>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</si>
  <si>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</si>
  <si>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</si>
  <si>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</si>
  <si>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</si>
  <si>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</si>
  <si>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</si>
  <si>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</si>
  <si>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</si>
  <si>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</si>
  <si>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</si>
  <si>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</si>
  <si>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</si>
  <si>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</si>
  <si>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</si>
  <si>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</si>
  <si>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</si>
  <si>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</si>
  <si>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</si>
  <si>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</si>
  <si>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</si>
  <si>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</si>
  <si>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</si>
  <si>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</si>
  <si>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</si>
  <si>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</si>
  <si>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</si>
  <si>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</si>
  <si>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</si>
  <si>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</si>
  <si>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</si>
  <si>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</si>
  <si>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</si>
  <si>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</si>
  <si>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</si>
  <si>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</si>
  <si>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</si>
  <si>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</si>
  <si>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</si>
  <si>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</si>
  <si>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</si>
  <si>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</si>
  <si>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</si>
  <si>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</si>
  <si>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</si>
  <si>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</si>
  <si>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</si>
  <si>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</si>
  <si>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</si>
  <si>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</si>
  <si>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</si>
  <si>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</si>
  <si>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</si>
  <si>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</si>
  <si>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</si>
  <si>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</si>
  <si>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</si>
  <si>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</si>
  <si>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</si>
  <si>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</si>
  <si>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</si>
  <si>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</si>
  <si>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</si>
  <si>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</si>
  <si>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</si>
  <si>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</si>
  <si>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</si>
  <si>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</si>
  <si>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</si>
  <si>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</si>
  <si>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</si>
  <si>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</si>
  <si>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</si>
  <si>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</si>
  <si>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</si>
  <si>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</si>
  <si>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</si>
  <si>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</si>
  <si>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</si>
  <si>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</si>
  <si>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</si>
  <si>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</si>
  <si>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</si>
  <si>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</si>
  <si>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</si>
  <si>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</si>
  <si>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</si>
  <si>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</si>
  <si>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</si>
  <si>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</si>
  <si>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</si>
  <si>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</si>
  <si>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</si>
  <si>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</si>
  <si>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</si>
  <si>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</si>
  <si>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</si>
  <si>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</si>
  <si>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</si>
  <si>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</si>
  <si>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</si>
  <si>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</si>
  <si>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</si>
  <si>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</si>
  <si>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</si>
  <si>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</si>
  <si>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</si>
  <si>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</si>
  <si>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</si>
  <si>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</si>
  <si>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</si>
  <si>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</si>
  <si>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</si>
  <si>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</si>
  <si>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</si>
  <si>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</si>
  <si>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</si>
  <si>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</si>
  <si>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</si>
  <si>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</si>
  <si>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</si>
  <si>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</si>
  <si>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</si>
  <si>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</si>
  <si>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</si>
  <si>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</si>
  <si>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</si>
  <si>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</si>
  <si>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</si>
  <si>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</si>
  <si>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</si>
  <si>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</si>
  <si>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</si>
  <si>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</si>
  <si>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</si>
  <si>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</si>
  <si>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</si>
  <si>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</si>
  <si>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</si>
  <si>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</si>
  <si>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</si>
  <si>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</si>
  <si>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</si>
  <si>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</si>
  <si>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</si>
  <si>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</si>
  <si>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</si>
  <si>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</si>
  <si>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</si>
  <si>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</si>
  <si>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</si>
  <si>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</si>
  <si>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</si>
  <si>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</si>
  <si>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</si>
  <si>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</si>
  <si>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</si>
  <si>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</si>
  <si>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</si>
  <si>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</si>
  <si>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</si>
  <si>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</si>
  <si>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</si>
  <si>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</si>
  <si>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</si>
  <si>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</si>
  <si>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</si>
  <si>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</si>
  <si>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</si>
  <si>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</si>
  <si>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</si>
  <si>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</si>
  <si>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</si>
  <si>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</si>
  <si>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</si>
  <si>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</si>
  <si>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</si>
  <si>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</si>
  <si>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</si>
  <si>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</si>
  <si>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</si>
  <si>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</si>
  <si>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</si>
  <si>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</si>
  <si>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</si>
  <si>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</si>
  <si>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</si>
  <si>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</si>
  <si>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</si>
  <si>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</si>
  <si>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</si>
  <si>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</si>
  <si>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</si>
  <si>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</si>
  <si>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</si>
  <si>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</si>
  <si>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</si>
  <si>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</si>
  <si>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</si>
  <si>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</si>
  <si>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</si>
  <si>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</si>
  <si>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</si>
  <si>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</si>
  <si>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</si>
  <si>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</si>
  <si>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</si>
  <si>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</si>
  <si>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</si>
  <si>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</si>
  <si>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</si>
  <si>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</si>
  <si>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</si>
  <si>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</si>
  <si>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</si>
  <si>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</si>
  <si>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</si>
  <si>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</si>
  <si>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</si>
  <si>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</si>
  <si>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</si>
  <si>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</si>
  <si>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</si>
  <si>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</si>
  <si>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</si>
  <si>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</si>
  <si>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</si>
  <si>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</si>
  <si>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</si>
  <si>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</si>
  <si>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</si>
  <si>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</si>
  <si>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</si>
  <si>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</si>
  <si>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</si>
  <si>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</si>
  <si>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</si>
  <si>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</si>
  <si>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</si>
  <si>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</si>
  <si>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</si>
  <si>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</si>
  <si>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</si>
  <si>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</si>
  <si>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</si>
  <si>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</si>
  <si>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</si>
  <si>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</si>
  <si>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</si>
  <si>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</si>
  <si>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</si>
  <si>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</si>
  <si>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</si>
  <si>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</si>
  <si>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</si>
  <si>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</si>
  <si>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</si>
  <si>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</si>
  <si>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</si>
  <si>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</si>
  <si>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</si>
  <si>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</si>
  <si>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</si>
  <si>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</si>
  <si>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</si>
  <si>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</si>
  <si>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</si>
  <si>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</si>
  <si>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</si>
  <si>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</si>
  <si>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</si>
  <si>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</si>
  <si>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</si>
  <si>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</si>
  <si>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</si>
  <si>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</si>
  <si>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</si>
  <si>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</si>
  <si>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</si>
  <si>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</si>
  <si>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</si>
  <si>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</si>
  <si>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</si>
  <si>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</si>
  <si>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</si>
  <si>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</si>
  <si>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</si>
  <si>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</si>
  <si>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</si>
  <si>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</si>
  <si>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</si>
  <si>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</si>
  <si>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</si>
  <si>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</si>
  <si>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</si>
  <si>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</si>
  <si>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</si>
  <si>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</si>
  <si>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</si>
  <si>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</si>
  <si>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</si>
  <si>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</si>
  <si>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</si>
  <si>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</si>
  <si>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</si>
  <si>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</si>
  <si>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</si>
  <si>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</si>
  <si>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</si>
  <si>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</si>
  <si>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</si>
  <si>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</si>
  <si>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</si>
  <si>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</si>
  <si>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</si>
  <si>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</si>
  <si>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</si>
  <si>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</si>
  <si>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</si>
  <si>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</si>
  <si>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</si>
  <si>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</si>
  <si>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</si>
  <si>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</si>
  <si>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</si>
  <si>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</si>
  <si>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</si>
  <si>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</si>
  <si>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</si>
  <si>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</si>
  <si>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</si>
  <si>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</si>
  <si>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</si>
  <si>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</si>
  <si>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</si>
  <si>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</si>
  <si>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</si>
  <si>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</si>
  <si>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</si>
  <si>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</si>
  <si>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</si>
  <si>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</si>
  <si>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</si>
  <si>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</si>
  <si>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</si>
  <si>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</si>
  <si>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</si>
  <si>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</si>
  <si>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</si>
  <si>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</si>
  <si>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</si>
  <si>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</si>
  <si>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</si>
  <si>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</si>
  <si>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</si>
  <si>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</si>
  <si>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</si>
  <si>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</si>
  <si>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</si>
  <si>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</si>
  <si>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</si>
  <si>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</si>
  <si>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</si>
  <si>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</si>
  <si>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</si>
  <si>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</si>
  <si>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</si>
  <si>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</si>
  <si>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</si>
  <si>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</si>
  <si>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</si>
  <si>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</si>
  <si>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</si>
  <si>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</si>
  <si>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</si>
  <si>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</si>
  <si>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</si>
  <si>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</si>
  <si>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</si>
  <si>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</si>
  <si>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</si>
  <si>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</si>
  <si>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</si>
  <si>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</si>
  <si>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</si>
  <si>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</si>
  <si>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</si>
  <si>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</si>
  <si>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</si>
  <si>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</si>
  <si>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</si>
  <si>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</si>
  <si>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</si>
  <si>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</si>
  <si>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</si>
  <si>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</si>
  <si>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</si>
  <si>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</si>
  <si>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</si>
  <si>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</si>
  <si>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</si>
  <si>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</si>
  <si>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</si>
  <si>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</si>
  <si>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</si>
  <si>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</si>
  <si>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</si>
  <si>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</si>
  <si>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</si>
  <si>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</si>
  <si>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</si>
  <si>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</si>
  <si>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</si>
  <si>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</si>
  <si>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</si>
  <si>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</si>
  <si>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</si>
  <si>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</si>
  <si>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</si>
  <si>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</si>
  <si>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</si>
  <si>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</si>
  <si>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</si>
  <si>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</si>
  <si>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</si>
  <si>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</si>
  <si>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</si>
  <si>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</si>
  <si>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</si>
  <si>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</si>
  <si>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</si>
  <si>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</si>
  <si>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</si>
  <si>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</si>
  <si>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</si>
  <si>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</si>
  <si>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</si>
  <si>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</si>
  <si>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</si>
  <si>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</si>
  <si>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</si>
  <si>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</si>
  <si>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</si>
  <si>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</si>
  <si>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</si>
  <si>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</si>
  <si>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</si>
  <si>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</si>
  <si>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</si>
  <si>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</si>
  <si>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</si>
  <si>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</si>
  <si>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</si>
  <si>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</si>
  <si>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</si>
  <si>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</si>
  <si>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</si>
  <si>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</si>
  <si>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</si>
  <si>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</si>
  <si>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</si>
  <si>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</si>
  <si>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</si>
  <si>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</si>
  <si>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</si>
  <si>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</si>
  <si>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</si>
  <si>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</si>
  <si>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</si>
  <si>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</si>
  <si>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</si>
  <si>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</si>
  <si>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</si>
  <si>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</si>
  <si>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</si>
  <si>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</si>
  <si>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</si>
  <si>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</si>
  <si>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</si>
  <si>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</si>
  <si>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</si>
  <si>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</si>
  <si>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</si>
  <si>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</si>
  <si>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</si>
  <si>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</si>
  <si>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</si>
  <si>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</si>
  <si>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</si>
  <si>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</si>
  <si>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</si>
  <si>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</si>
  <si>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</si>
  <si>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</si>
  <si>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</si>
  <si>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</si>
  <si>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</si>
  <si>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</si>
  <si>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</si>
  <si>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</si>
  <si>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</si>
  <si>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</si>
  <si>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</si>
  <si>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</si>
  <si>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</si>
  <si>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</si>
  <si>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</si>
  <si>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</si>
  <si>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</si>
  <si>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</si>
  <si>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</si>
  <si>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</si>
  <si>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</si>
  <si>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</si>
  <si>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</si>
  <si>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</si>
  <si>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</si>
  <si>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</si>
  <si>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</si>
  <si>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</si>
  <si>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</si>
  <si>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</si>
  <si>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</si>
  <si>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</si>
  <si>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</si>
  <si>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</si>
  <si>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</si>
  <si>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</si>
  <si>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</si>
  <si>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</si>
  <si>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</si>
  <si>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</si>
  <si>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</si>
  <si>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</si>
  <si>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</si>
  <si>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</si>
  <si>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</si>
  <si>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</si>
  <si>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</si>
  <si>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</si>
  <si>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</si>
  <si>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</si>
  <si>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</si>
  <si>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</si>
  <si>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</si>
  <si>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</si>
  <si>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</si>
  <si>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</si>
  <si>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</si>
  <si>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</si>
  <si>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</si>
  <si>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</si>
  <si>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</si>
  <si>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</si>
  <si>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</si>
  <si>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</si>
  <si>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</si>
  <si>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</si>
  <si>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</si>
  <si>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</si>
  <si>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</si>
  <si>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</si>
  <si>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</si>
  <si>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</si>
  <si>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</si>
  <si>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</si>
  <si>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</si>
  <si>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</si>
  <si>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</si>
  <si>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</si>
  <si>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</si>
  <si>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</si>
  <si>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</si>
  <si>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</si>
  <si>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</si>
  <si>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</si>
  <si>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</si>
  <si>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</si>
  <si>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</si>
  <si>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</si>
  <si>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</si>
  <si>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</si>
  <si>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</si>
  <si>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</si>
  <si>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</si>
  <si>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</si>
  <si>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</si>
  <si>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</si>
  <si>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</si>
  <si>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</si>
  <si>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</si>
  <si>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</si>
  <si>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</si>
  <si>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</si>
  <si>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</si>
  <si>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</si>
  <si>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</si>
  <si>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</si>
  <si>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</si>
  <si>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</si>
  <si>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</si>
  <si>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</si>
  <si>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</si>
  <si>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</si>
  <si>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</si>
  <si>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</si>
  <si>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</si>
  <si>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</si>
  <si>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</si>
  <si>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</si>
  <si>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</si>
  <si>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</si>
  <si>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</si>
  <si>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</si>
  <si>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</si>
  <si>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</si>
  <si>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</si>
  <si>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</si>
  <si>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</si>
  <si>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</si>
  <si>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</si>
  <si>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</si>
  <si>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</si>
  <si>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</si>
  <si>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</si>
  <si>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</si>
  <si>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</si>
  <si>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</si>
  <si>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</si>
  <si>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</si>
  <si>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</si>
  <si>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</si>
  <si>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</si>
  <si>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</si>
  <si>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</si>
  <si>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</si>
  <si>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</si>
  <si>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</si>
  <si>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</si>
  <si>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</si>
  <si>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</si>
  <si>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</si>
  <si>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</si>
  <si>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</si>
  <si>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</si>
  <si>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</si>
  <si>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</si>
  <si>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</si>
  <si>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</si>
  <si>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</si>
  <si>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</si>
  <si>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</si>
  <si>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</si>
  <si>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</si>
  <si>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</si>
  <si>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</si>
  <si>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</si>
  <si>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</si>
  <si>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</si>
  <si>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</si>
  <si>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</si>
  <si>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</si>
  <si>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</si>
  <si>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</si>
  <si>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</si>
  <si>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</si>
  <si>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</si>
  <si>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</si>
  <si>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</si>
  <si>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</si>
  <si>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</si>
  <si>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</si>
  <si>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</si>
  <si>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</si>
  <si>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</si>
  <si>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</si>
  <si>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</si>
  <si>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</si>
  <si>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</si>
  <si>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</si>
  <si>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</si>
  <si>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</si>
  <si>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</si>
  <si>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</si>
  <si>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</si>
  <si>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</si>
  <si>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</si>
  <si>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</si>
  <si>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</si>
  <si>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</si>
  <si>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</si>
  <si>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</si>
  <si>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</si>
  <si>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</si>
  <si>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</si>
  <si>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</si>
  <si>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</si>
  <si>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</si>
  <si>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</si>
  <si>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</si>
  <si>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</si>
  <si>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</si>
  <si>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</si>
  <si>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</si>
  <si>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</si>
  <si>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</si>
  <si>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</si>
  <si>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</si>
  <si>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</si>
  <si>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</si>
  <si>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</si>
  <si>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</si>
  <si>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</si>
  <si>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</si>
  <si>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</si>
  <si>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</si>
  <si>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</si>
  <si>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</si>
  <si>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</si>
  <si>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</si>
  <si>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</si>
  <si>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</si>
  <si>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</si>
  <si>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</si>
  <si>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</si>
  <si>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</si>
  <si>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</si>
  <si>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</si>
  <si>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</si>
  <si>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</si>
  <si>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</si>
  <si>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</si>
  <si>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</si>
  <si>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</si>
  <si>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</si>
  <si>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</si>
  <si>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</si>
  <si>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</si>
  <si>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</si>
  <si>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</si>
  <si>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</si>
  <si>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</si>
  <si>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</si>
  <si>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</si>
  <si>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</si>
  <si>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</si>
  <si>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</si>
  <si>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</si>
  <si>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</si>
  <si>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</si>
  <si>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</si>
  <si>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</si>
  <si>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</si>
  <si>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</si>
  <si>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</si>
  <si>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</si>
  <si>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</si>
  <si>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</si>
  <si>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</si>
  <si>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</si>
  <si>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</si>
  <si>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</si>
  <si>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</si>
  <si>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</si>
  <si>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</si>
  <si>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</si>
  <si>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</si>
  <si>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</si>
  <si>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</si>
  <si>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</si>
  <si>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</si>
  <si>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</si>
  <si>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</si>
  <si>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</si>
  <si>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</si>
  <si>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</si>
  <si>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</si>
  <si>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</si>
  <si>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</si>
  <si>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</si>
  <si>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</si>
  <si>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</si>
  <si>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</si>
  <si>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</si>
  <si>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</si>
  <si>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</si>
  <si>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</si>
  <si>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</si>
  <si>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</si>
  <si>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</si>
  <si>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</si>
  <si>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</si>
  <si>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</si>
  <si>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</si>
  <si>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</si>
  <si>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</si>
  <si>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</si>
  <si>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</si>
  <si>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</si>
  <si>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</si>
  <si>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</si>
  <si>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</si>
  <si>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</si>
  <si>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</si>
  <si>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</si>
  <si>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</si>
  <si>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</si>
  <si>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</si>
  <si>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</si>
  <si>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</si>
  <si>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</si>
  <si>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</si>
  <si>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</si>
  <si>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</si>
  <si>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</si>
  <si>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</si>
  <si>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</si>
  <si>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</si>
  <si>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</si>
  <si>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</si>
  <si>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</si>
  <si>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</si>
  <si>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</si>
  <si>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</si>
  <si>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</si>
  <si>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</si>
  <si>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</si>
  <si>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</si>
  <si>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</si>
  <si>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</si>
  <si>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</si>
  <si>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</si>
  <si>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</si>
  <si>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</si>
  <si>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</si>
  <si>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</si>
  <si>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</si>
  <si>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</si>
  <si>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</si>
  <si>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</si>
  <si>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</si>
  <si>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</si>
  <si>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</si>
  <si>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</si>
  <si>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</si>
  <si>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</si>
  <si>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</si>
  <si>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</si>
  <si>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</si>
  <si>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</si>
  <si>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</si>
  <si>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</si>
  <si>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</si>
  <si>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</si>
  <si>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</si>
  <si>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</si>
  <si>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</si>
  <si>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</si>
  <si>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</si>
  <si>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</si>
  <si>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</si>
  <si>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</si>
  <si>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</si>
  <si>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</si>
  <si>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</si>
  <si>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</si>
  <si>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</si>
  <si>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</si>
  <si>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</si>
  <si>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</si>
  <si>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</si>
  <si>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</si>
  <si>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</si>
  <si>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</si>
  <si>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</si>
  <si>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</si>
  <si>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</si>
  <si>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</si>
  <si>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</si>
  <si>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</si>
  <si>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</si>
  <si>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</si>
  <si>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</si>
  <si>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</si>
  <si>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</si>
  <si>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</si>
  <si>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</si>
  <si>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</si>
  <si>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</si>
  <si>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</si>
  <si>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</si>
  <si>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</si>
  <si>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</si>
  <si>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</si>
  <si>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</si>
  <si>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</si>
  <si>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</si>
  <si>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</si>
  <si>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</si>
  <si>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</si>
  <si>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</si>
  <si>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</si>
  <si>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</si>
  <si>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</si>
  <si>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</si>
  <si>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</si>
  <si>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</si>
  <si>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</si>
  <si>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</si>
  <si>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</si>
  <si>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</si>
  <si>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</si>
  <si>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</si>
  <si>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</si>
  <si>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</si>
  <si>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</si>
  <si>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</si>
  <si>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</si>
  <si>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</si>
  <si>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</si>
  <si>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</si>
  <si>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</si>
  <si>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</si>
  <si>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</si>
  <si>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</si>
  <si>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</si>
  <si>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</si>
  <si>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</si>
  <si>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</si>
  <si>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</si>
  <si>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</si>
  <si>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</si>
  <si>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</si>
  <si>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</si>
  <si>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</si>
  <si>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</si>
  <si>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</si>
  <si>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</si>
  <si>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</si>
  <si>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</si>
  <si>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</si>
  <si>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</si>
  <si>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</si>
  <si>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</si>
  <si>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</si>
  <si>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</si>
  <si>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</si>
  <si>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</si>
  <si>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</si>
  <si>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</si>
  <si>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</si>
  <si>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</si>
  <si>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</si>
  <si>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</si>
  <si>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</si>
  <si>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</si>
  <si>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</si>
  <si>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</si>
  <si>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</si>
  <si>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</si>
  <si>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</si>
  <si>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</si>
  <si>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</si>
  <si>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</si>
  <si>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</si>
  <si>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</si>
  <si>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</si>
  <si>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</si>
  <si>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</si>
  <si>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</si>
  <si>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</si>
  <si>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</si>
  <si>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</si>
  <si>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</si>
  <si>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</si>
  <si>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</si>
  <si>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</si>
  <si>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</si>
  <si>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</si>
  <si>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</si>
  <si>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</si>
  <si>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</si>
  <si>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</si>
  <si>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</si>
  <si>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</si>
  <si>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</si>
  <si>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</si>
  <si>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</si>
  <si>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</si>
  <si>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</si>
  <si>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</si>
  <si>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</si>
  <si>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</si>
  <si>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</si>
  <si>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</si>
  <si>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</si>
  <si>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</si>
  <si>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</si>
  <si>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</si>
  <si>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</si>
  <si>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</si>
  <si>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</si>
  <si>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</si>
  <si>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</si>
  <si>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</si>
  <si>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</si>
  <si>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</si>
  <si>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</si>
  <si>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</si>
  <si>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</si>
  <si>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</si>
  <si>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</si>
  <si>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</si>
  <si>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</si>
  <si>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</si>
  <si>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</si>
  <si>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</si>
  <si>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</si>
  <si>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</si>
  <si>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</si>
  <si>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</si>
  <si>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</si>
  <si>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</si>
  <si>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</si>
  <si>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</si>
  <si>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</si>
  <si>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</si>
  <si>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</si>
  <si>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</si>
  <si>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</si>
  <si>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</si>
  <si>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</si>
  <si>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</si>
  <si>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</si>
  <si>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</si>
  <si>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</si>
  <si>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</si>
  <si>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</si>
  <si>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</si>
  <si>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</si>
  <si>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</si>
  <si>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</si>
  <si>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</si>
  <si>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</si>
  <si>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</si>
  <si>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</si>
  <si>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</si>
  <si>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</si>
  <si>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</si>
  <si>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</si>
  <si>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</si>
  <si>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</si>
  <si>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</si>
  <si>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</si>
  <si>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</si>
  <si>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</si>
  <si>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</si>
  <si>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</si>
  <si>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</si>
  <si>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</si>
  <si>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</si>
  <si>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</si>
  <si>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</si>
  <si>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</si>
  <si>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</si>
  <si>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</si>
  <si>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</si>
  <si>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</si>
  <si>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</si>
  <si>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</si>
  <si>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</si>
  <si>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</si>
  <si>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</si>
  <si>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</si>
  <si>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</si>
  <si>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</si>
  <si>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</si>
  <si>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</si>
  <si>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</si>
  <si>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</si>
  <si>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</si>
  <si>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</si>
  <si>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</si>
  <si>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</si>
  <si>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</si>
  <si>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</si>
  <si>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</si>
  <si>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</si>
  <si>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</si>
  <si>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</si>
  <si>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</si>
  <si>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</si>
  <si>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</si>
  <si>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</si>
  <si>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</si>
  <si>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</si>
  <si>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</si>
  <si>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</si>
  <si>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</si>
  <si>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</si>
  <si>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</si>
  <si>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</si>
  <si>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</si>
  <si>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</si>
  <si>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</si>
  <si>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</si>
  <si>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</si>
  <si>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</si>
  <si>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</si>
  <si>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</si>
  <si>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</si>
  <si>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</si>
  <si>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</si>
  <si>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</si>
  <si>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</si>
  <si>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</si>
  <si>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</si>
  <si>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</si>
  <si>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</si>
  <si>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</si>
  <si>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</si>
  <si>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</si>
  <si>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</si>
  <si>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</si>
  <si>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</si>
  <si>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</si>
  <si>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</si>
  <si>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</si>
  <si>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</si>
  <si>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</si>
  <si>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</si>
  <si>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</si>
  <si>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</si>
  <si>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</si>
  <si>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</si>
  <si>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</si>
  <si>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</si>
  <si>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</si>
  <si>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</si>
  <si>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</si>
  <si>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</si>
  <si>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</si>
  <si>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</si>
  <si>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</si>
  <si>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</si>
  <si>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</si>
  <si>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</si>
  <si>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</si>
  <si>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</si>
  <si>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</si>
  <si>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</si>
  <si>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</si>
  <si>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</si>
  <si>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</si>
  <si>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</si>
  <si>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</si>
  <si>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</si>
  <si>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</si>
  <si>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</si>
  <si>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</si>
  <si>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</si>
  <si>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</si>
  <si>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</si>
  <si>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</si>
  <si>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</si>
  <si>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</si>
  <si>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</si>
  <si>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</si>
  <si>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</si>
  <si>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</si>
  <si>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</si>
  <si>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</si>
  <si>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</si>
  <si>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</si>
  <si>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</si>
  <si>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</si>
  <si>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</si>
  <si>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</si>
  <si>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</si>
  <si>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</si>
  <si>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</si>
  <si>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</si>
  <si>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</si>
  <si>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</si>
  <si>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</si>
  <si>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</si>
  <si>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</si>
  <si>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</si>
  <si>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</si>
  <si>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</si>
  <si>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</si>
  <si>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</si>
  <si>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</si>
  <si>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</si>
  <si>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</si>
  <si>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</si>
  <si>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</si>
  <si>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</si>
  <si>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</si>
  <si>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</si>
  <si>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</si>
  <si>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</si>
  <si>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</si>
  <si>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</si>
  <si>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</si>
  <si>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</si>
  <si>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</si>
  <si>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</si>
  <si>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</si>
  <si>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</si>
  <si>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</si>
  <si>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</si>
  <si>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</si>
  <si>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</si>
  <si>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</si>
  <si>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</si>
  <si>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</si>
  <si>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</si>
  <si>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</si>
  <si>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</si>
  <si>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</si>
  <si>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</si>
  <si>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</si>
  <si>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</si>
  <si>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</si>
  <si>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</si>
  <si>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</si>
  <si>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</si>
  <si>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</si>
  <si>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</si>
  <si>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</si>
  <si>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</si>
  <si>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</si>
  <si>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</si>
  <si>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</si>
  <si>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</si>
  <si>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</si>
  <si>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</si>
  <si>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</si>
  <si>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</si>
  <si>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</si>
  <si>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</si>
  <si>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</si>
  <si>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</si>
  <si>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</si>
  <si>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</si>
  <si>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</si>
  <si>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</si>
  <si>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</si>
  <si>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</si>
  <si>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</si>
  <si>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</si>
  <si>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</si>
  <si>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</si>
  <si>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</si>
  <si>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</si>
  <si>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</si>
  <si>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</si>
  <si>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</si>
  <si>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</si>
  <si>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</si>
  <si>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</si>
  <si>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</si>
  <si>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</si>
  <si>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</si>
  <si>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</si>
  <si>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</si>
  <si>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</si>
  <si>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</si>
  <si>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</si>
  <si>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</si>
  <si>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</si>
  <si>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</si>
  <si>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</si>
  <si>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</si>
  <si>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</si>
  <si>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</si>
  <si>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</si>
  <si>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</si>
  <si>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</si>
  <si>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</si>
  <si>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</si>
  <si>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</si>
  <si>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</si>
  <si>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</si>
  <si>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</si>
  <si>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</si>
  <si>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</si>
  <si>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</si>
  <si>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</si>
  <si>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</si>
  <si>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</si>
  <si>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</si>
  <si>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</si>
  <si>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</si>
  <si>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</si>
  <si>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</si>
  <si>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</si>
  <si>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</si>
  <si>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</si>
  <si>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</si>
  <si>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</si>
  <si>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</si>
  <si>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</si>
  <si>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</si>
  <si>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</si>
  <si>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</si>
  <si>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</si>
  <si>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</si>
  <si>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</si>
  <si>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</si>
  <si>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</si>
  <si>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</si>
  <si>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</si>
  <si>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</si>
  <si>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</si>
  <si>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</si>
  <si>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</si>
  <si>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</si>
  <si>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</si>
  <si>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</si>
  <si>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</si>
  <si>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</si>
  <si>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</si>
  <si>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</si>
  <si>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</si>
  <si>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</si>
  <si>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</si>
  <si>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</si>
  <si>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</si>
  <si>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</si>
  <si>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</si>
  <si>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</si>
  <si>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</si>
  <si>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</si>
  <si>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</si>
  <si>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</si>
  <si>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</si>
  <si>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</si>
  <si>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</si>
  <si>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</si>
  <si>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</si>
  <si>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</si>
  <si>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</si>
  <si>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</si>
  <si>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</si>
  <si>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</si>
  <si>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</si>
  <si>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</si>
  <si>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</si>
  <si>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</si>
  <si>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</si>
  <si>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</si>
  <si>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</si>
  <si>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</si>
  <si>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</si>
  <si>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</si>
  <si>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</si>
  <si>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</si>
  <si>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</si>
  <si>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</si>
  <si>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</si>
  <si>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</si>
  <si>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</si>
  <si>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</si>
  <si>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</si>
  <si>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</si>
  <si>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</si>
  <si>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</si>
  <si>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</si>
  <si>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</si>
  <si>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</si>
  <si>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</si>
  <si>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</si>
  <si>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</si>
  <si>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</si>
  <si>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</si>
  <si>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</si>
  <si>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</si>
  <si>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</si>
  <si>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</si>
  <si>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</si>
  <si>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</si>
  <si>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</si>
  <si>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</si>
  <si>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</si>
  <si>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</si>
  <si>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</si>
  <si>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</si>
  <si>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</si>
  <si>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</si>
  <si>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</si>
  <si>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</si>
  <si>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</si>
  <si>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</si>
  <si>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</si>
  <si>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</si>
  <si>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</si>
  <si>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</si>
  <si>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</si>
  <si>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</si>
  <si>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</si>
  <si>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</si>
  <si>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</si>
  <si>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</si>
  <si>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</si>
  <si>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</si>
  <si>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</si>
  <si>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</si>
  <si>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</si>
  <si>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</si>
  <si>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</si>
  <si>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</si>
  <si>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</si>
  <si>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</si>
  <si>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</si>
  <si>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</si>
  <si>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</si>
  <si>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</si>
  <si>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</si>
  <si>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</si>
  <si>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</si>
  <si>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</si>
  <si>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</si>
  <si>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</si>
  <si>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</si>
  <si>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</si>
  <si>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</si>
  <si>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</si>
  <si>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</si>
  <si>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</si>
  <si>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</si>
  <si>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</si>
  <si>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</si>
  <si>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</si>
  <si>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</si>
  <si>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</si>
  <si>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</si>
  <si>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</si>
  <si>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</si>
  <si>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</si>
  <si>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</si>
  <si>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</si>
  <si>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</si>
  <si>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</si>
  <si>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</si>
  <si>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</si>
  <si>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</si>
  <si>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</si>
  <si>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</si>
  <si>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</si>
  <si>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</si>
  <si>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</si>
  <si>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</si>
  <si>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</si>
  <si>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</si>
  <si>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</si>
  <si>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</si>
  <si>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</si>
  <si>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</si>
  <si>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</si>
  <si>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</si>
  <si>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</si>
  <si>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</si>
  <si>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</si>
  <si>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</si>
  <si>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</si>
  <si>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</si>
  <si>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</si>
  <si>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</si>
  <si>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</si>
  <si>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</si>
  <si>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</si>
  <si>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</si>
  <si>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</si>
  <si>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</si>
  <si>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</si>
  <si>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</si>
  <si>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</si>
  <si>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</si>
  <si>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</si>
  <si>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</si>
  <si>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</si>
  <si>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</si>
  <si>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</si>
  <si>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</si>
  <si>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</si>
  <si>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</si>
  <si>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</si>
  <si>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</si>
  <si>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</si>
  <si>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</si>
  <si>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</si>
  <si>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</si>
  <si>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</si>
  <si>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</si>
  <si>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</si>
  <si>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</si>
  <si>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</si>
  <si>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</si>
  <si>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</si>
  <si>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</si>
  <si>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</si>
  <si>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</si>
  <si>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</si>
  <si>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</si>
  <si>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</si>
  <si>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</si>
  <si>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</si>
  <si>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</si>
  <si>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</si>
  <si>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</si>
  <si>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</si>
  <si>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</si>
  <si>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</si>
  <si>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</si>
  <si>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</si>
  <si>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</si>
  <si>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</si>
  <si>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</si>
  <si>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</si>
  <si>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</si>
  <si>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</si>
  <si>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</si>
  <si>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</si>
  <si>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</si>
  <si>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</si>
  <si>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</si>
  <si>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</si>
  <si>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</si>
  <si>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</si>
  <si>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</si>
  <si>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</si>
  <si>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</si>
  <si>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</si>
  <si>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</si>
  <si>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</si>
  <si>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</si>
  <si>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</si>
  <si>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</si>
  <si>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</si>
  <si>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</si>
  <si>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</si>
  <si>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</si>
  <si>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</si>
  <si>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</si>
  <si>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</si>
  <si>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</si>
  <si>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</si>
  <si>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</si>
  <si>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</si>
  <si>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</si>
  <si>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</si>
  <si>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</si>
  <si>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</si>
  <si>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</si>
  <si>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</si>
  <si>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</si>
  <si>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</si>
  <si>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</si>
  <si>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</si>
  <si>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</si>
  <si>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</si>
  <si>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</si>
  <si>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</si>
  <si>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</si>
  <si>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</si>
  <si>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</si>
  <si>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</si>
  <si>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</si>
  <si>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</si>
  <si>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</si>
  <si>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</si>
  <si>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</si>
  <si>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</si>
  <si>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</si>
  <si>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</si>
  <si>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</si>
  <si>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</si>
  <si>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</si>
  <si>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</si>
  <si>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</si>
  <si>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</si>
  <si>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</si>
  <si>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</si>
  <si>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</si>
  <si>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</si>
  <si>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</si>
  <si>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</si>
  <si>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</si>
  <si>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</si>
  <si>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</si>
  <si>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</si>
  <si>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</si>
  <si>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</si>
  <si>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</si>
  <si>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</si>
  <si>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</si>
  <si>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</si>
  <si>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</si>
  <si>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</si>
  <si>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</si>
  <si>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</si>
  <si>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</si>
  <si>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</si>
  <si>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</si>
  <si>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</si>
  <si>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</si>
  <si>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</si>
  <si>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</si>
  <si>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</si>
  <si>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</si>
  <si>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</si>
  <si>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</si>
  <si>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</si>
  <si>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</si>
  <si>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</si>
  <si>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</si>
  <si>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</si>
  <si>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</si>
  <si>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</si>
  <si>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</si>
  <si>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</si>
  <si>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</si>
  <si>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</si>
  <si>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</si>
  <si>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</si>
  <si>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</si>
  <si>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</si>
  <si>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</si>
  <si>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</si>
  <si>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</si>
  <si>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</si>
  <si>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</si>
  <si>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</si>
  <si>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</si>
  <si>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</si>
  <si>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</si>
  <si>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</si>
  <si>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</si>
  <si>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</si>
  <si>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</si>
  <si>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</si>
  <si>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</si>
  <si>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</si>
  <si>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</si>
  <si>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</si>
  <si>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</si>
  <si>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</si>
  <si>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</si>
  <si>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</si>
  <si>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</si>
  <si>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</si>
  <si>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</si>
  <si>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</si>
  <si>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</si>
  <si>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</si>
  <si>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</si>
  <si>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</si>
  <si>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</si>
  <si>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</si>
  <si>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</si>
  <si>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</si>
  <si>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</si>
  <si>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</si>
  <si>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</si>
  <si>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</si>
  <si>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</si>
  <si>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</si>
  <si>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</si>
  <si>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</si>
  <si>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</si>
  <si>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</si>
  <si>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</si>
  <si>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</si>
  <si>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</si>
  <si>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</si>
  <si>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</si>
  <si>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</si>
  <si>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</si>
  <si>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</si>
  <si>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</si>
  <si>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</si>
  <si>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</si>
  <si>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</si>
  <si>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</si>
  <si>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</si>
  <si>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</si>
  <si>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</si>
  <si>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</si>
  <si>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</si>
  <si>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</si>
  <si>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</si>
  <si>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</si>
  <si>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</si>
  <si>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</si>
  <si>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</si>
  <si>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</si>
  <si>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</si>
  <si>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</si>
  <si>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</si>
  <si>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</si>
  <si>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</si>
  <si>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</si>
  <si>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</si>
  <si>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</si>
  <si>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</si>
  <si>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</si>
  <si>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</si>
  <si>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</si>
  <si>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</si>
  <si>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</si>
  <si>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</si>
  <si>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</si>
  <si>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</si>
  <si>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</si>
  <si>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</si>
  <si>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</si>
  <si>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</si>
  <si>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</si>
  <si>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</si>
  <si>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</si>
  <si>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</si>
  <si>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</si>
  <si>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</si>
  <si>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</si>
  <si>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</si>
  <si>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</si>
  <si>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</si>
  <si>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</si>
  <si>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</si>
  <si>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</si>
  <si>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</si>
  <si>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</si>
  <si>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</si>
  <si>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</si>
  <si>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</si>
  <si>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</si>
  <si>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</si>
  <si>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</si>
  <si>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</si>
  <si>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</si>
  <si>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</si>
  <si>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</si>
  <si>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</si>
  <si>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</si>
  <si>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</si>
  <si>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</si>
  <si>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</si>
  <si>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</si>
  <si>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</si>
  <si>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</si>
  <si>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</si>
  <si>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</si>
  <si>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</si>
  <si>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</si>
  <si>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</si>
  <si>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</si>
  <si>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</si>
  <si>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</si>
  <si>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</si>
  <si>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</si>
  <si>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</si>
  <si>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</si>
  <si>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</si>
  <si>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</si>
  <si>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</si>
  <si>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</si>
  <si>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</si>
  <si>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</si>
  <si>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</si>
  <si>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</si>
  <si>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</si>
  <si>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</si>
  <si>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</si>
  <si>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</si>
  <si>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</si>
  <si>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</si>
  <si>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</si>
  <si>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</si>
  <si>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</si>
  <si>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</si>
  <si>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</si>
  <si>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</si>
  <si>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</si>
  <si>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</si>
  <si>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</si>
  <si>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</si>
  <si>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</si>
  <si>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</si>
  <si>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</si>
  <si>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</si>
  <si>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</si>
  <si>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</si>
  <si>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</si>
  <si>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</si>
  <si>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</si>
  <si>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</si>
  <si>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</si>
  <si>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</si>
  <si>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</si>
  <si>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</si>
  <si>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</si>
  <si>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</si>
  <si>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</si>
  <si>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</si>
  <si>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</si>
  <si>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</si>
  <si>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</si>
  <si>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</si>
  <si>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</si>
  <si>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</si>
  <si>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</si>
  <si>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</si>
  <si>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</si>
  <si>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</si>
  <si>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</si>
  <si>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</si>
  <si>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</si>
  <si>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</si>
  <si>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</si>
  <si>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</si>
  <si>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</si>
  <si>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</si>
  <si>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</si>
  <si>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</si>
  <si>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</si>
  <si>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</si>
  <si>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</si>
  <si>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</si>
  <si>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</si>
  <si>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</si>
  <si>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</si>
  <si>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</si>
  <si>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</si>
  <si>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</si>
  <si>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</si>
  <si>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</si>
  <si>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</si>
  <si>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</si>
  <si>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</si>
  <si>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</si>
  <si>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</si>
  <si>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</si>
  <si>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</si>
  <si>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</si>
  <si>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</si>
  <si>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</si>
  <si>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</si>
  <si>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</si>
  <si>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</si>
  <si>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</si>
  <si>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</si>
  <si>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</si>
  <si>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</si>
  <si>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</si>
  <si>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</si>
  <si>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</si>
  <si>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</si>
  <si>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</si>
  <si>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</si>
  <si>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</si>
  <si>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</si>
  <si>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</si>
  <si>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</si>
  <si>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</si>
  <si>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</si>
  <si>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</si>
  <si>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</si>
  <si>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</si>
  <si>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</si>
  <si>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</si>
  <si>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</si>
  <si>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</si>
  <si>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</si>
  <si>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</si>
  <si>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</si>
  <si>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</si>
  <si>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</si>
  <si>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</si>
  <si>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</si>
  <si>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</si>
  <si>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</si>
  <si>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</si>
  <si>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</si>
  <si>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</si>
  <si>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</si>
  <si>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</si>
  <si>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</si>
  <si>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</si>
  <si>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</si>
  <si>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</si>
  <si>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</si>
  <si>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</si>
  <si>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</si>
  <si>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</si>
  <si>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</si>
  <si>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</si>
  <si>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</si>
  <si>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</si>
  <si>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</si>
  <si>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</si>
  <si>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</si>
  <si>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</si>
  <si>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</si>
  <si>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</si>
  <si>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</si>
  <si>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</si>
  <si>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</si>
  <si>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</si>
  <si>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</si>
  <si>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</si>
  <si>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</si>
  <si>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</si>
  <si>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</si>
  <si>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</si>
  <si>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</si>
  <si>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</si>
  <si>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</si>
  <si>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</si>
  <si>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</si>
  <si>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</si>
  <si>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</si>
  <si>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</si>
  <si>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</si>
  <si>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</si>
  <si>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</si>
  <si>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</si>
  <si>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</si>
  <si>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</si>
  <si>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</si>
  <si>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</si>
  <si>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</si>
  <si>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</si>
  <si>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</si>
  <si>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</si>
  <si>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</si>
  <si>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</si>
  <si>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</si>
  <si>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</si>
  <si>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</si>
  <si>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</si>
  <si>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</si>
  <si>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</si>
  <si>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</si>
  <si>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</si>
  <si>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</si>
  <si>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</si>
  <si>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</si>
  <si>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</si>
  <si>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</si>
  <si>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</si>
  <si>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</si>
  <si>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</si>
  <si>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</si>
  <si>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</si>
  <si>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</si>
  <si>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</si>
  <si>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</si>
  <si>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</si>
  <si>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</si>
  <si>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</si>
  <si>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</si>
  <si>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</si>
  <si>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</si>
  <si>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</si>
  <si>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</si>
  <si>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</si>
  <si>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</si>
  <si>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</si>
  <si>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</si>
  <si>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</si>
  <si>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</si>
  <si>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</si>
  <si>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</si>
  <si>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</si>
  <si>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</si>
  <si>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</si>
  <si>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</si>
  <si>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</si>
  <si>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</si>
  <si>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</si>
  <si>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</si>
  <si>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</si>
  <si>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</si>
  <si>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</si>
  <si>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</si>
  <si>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</si>
  <si>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</si>
  <si>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</si>
  <si>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</si>
  <si>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</si>
  <si>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</si>
  <si>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</si>
  <si>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</si>
  <si>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</si>
  <si>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</si>
  <si>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</si>
  <si>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</si>
  <si>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</si>
  <si>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</si>
  <si>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</si>
  <si>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</si>
  <si>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</si>
  <si>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</si>
  <si>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</si>
  <si>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</si>
  <si>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</si>
  <si>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</si>
  <si>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</si>
  <si>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</si>
  <si>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</si>
  <si>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</si>
  <si>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</si>
  <si>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</si>
  <si>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</si>
  <si>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</si>
  <si>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</si>
  <si>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</si>
  <si>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</si>
  <si>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</si>
  <si>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</si>
  <si>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</si>
  <si>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</si>
  <si>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</si>
  <si>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</si>
  <si>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</si>
  <si>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</si>
  <si>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</si>
  <si>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</si>
  <si>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</si>
  <si>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</si>
  <si>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</si>
  <si>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</si>
  <si>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</si>
  <si>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</si>
  <si>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</si>
  <si>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</si>
  <si>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</si>
  <si>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</si>
  <si>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</si>
  <si>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</si>
  <si>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</si>
  <si>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</si>
  <si>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</si>
  <si>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</si>
  <si>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</si>
  <si>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</si>
  <si>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</si>
  <si>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</si>
  <si>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</si>
  <si>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</si>
  <si>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</si>
  <si>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</si>
  <si>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</si>
  <si>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</si>
  <si>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</si>
  <si>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</si>
  <si>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</si>
  <si>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</si>
  <si>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</si>
  <si>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</si>
  <si>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</si>
  <si>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</si>
  <si>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</si>
  <si>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</si>
  <si>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</si>
  <si>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</si>
  <si>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</si>
  <si>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</si>
  <si>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</si>
  <si>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</si>
  <si>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</si>
  <si>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</si>
  <si>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</si>
  <si>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</si>
  <si>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</si>
  <si>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</si>
  <si>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</si>
  <si>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</si>
  <si>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</si>
  <si>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</si>
  <si>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</si>
  <si>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</si>
  <si>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</si>
  <si>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</si>
  <si>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</si>
  <si>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</si>
  <si>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</si>
  <si>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</si>
  <si>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</si>
  <si>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</si>
  <si>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</si>
  <si>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</si>
  <si>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</si>
  <si>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</si>
  <si>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</si>
  <si>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</si>
  <si>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</si>
  <si>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</si>
  <si>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</si>
  <si>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</si>
  <si>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</si>
  <si>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</si>
  <si>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</si>
  <si>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</si>
  <si>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</si>
  <si>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</si>
  <si>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</si>
  <si>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</si>
  <si>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</si>
  <si>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</si>
  <si>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</si>
  <si>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</si>
  <si>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</si>
  <si>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</si>
  <si>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</si>
  <si>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</si>
  <si>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</si>
  <si>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</si>
  <si>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</si>
  <si>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</si>
  <si>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</si>
  <si>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</si>
  <si>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</si>
  <si>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</si>
  <si>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</si>
  <si>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</si>
  <si>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</si>
  <si>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</si>
  <si>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</si>
  <si>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</si>
  <si>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</si>
  <si>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</si>
  <si>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</si>
  <si>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</si>
  <si>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</si>
  <si>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</si>
  <si>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</si>
  <si>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</si>
  <si>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</si>
  <si>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</si>
  <si>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</si>
  <si>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</si>
  <si>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</si>
  <si>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</si>
  <si>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</si>
  <si>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</si>
  <si>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</si>
  <si>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</si>
  <si>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</si>
  <si>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</si>
  <si>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</si>
  <si>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</si>
  <si>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</si>
  <si>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</si>
  <si>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</si>
  <si>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</si>
  <si>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</si>
  <si>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</si>
  <si>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</si>
  <si>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</si>
  <si>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</si>
  <si>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</si>
  <si>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</si>
  <si>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</si>
  <si>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</si>
  <si>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</si>
  <si>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</si>
  <si>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</si>
  <si>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</si>
  <si>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</si>
  <si>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</si>
  <si>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</si>
  <si>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</si>
  <si>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</si>
  <si>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</si>
  <si>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</si>
  <si>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</si>
  <si>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</si>
  <si>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</si>
  <si>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</si>
  <si>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</si>
  <si>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</si>
  <si>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</si>
  <si>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</si>
  <si>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</si>
  <si>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</si>
  <si>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</si>
  <si>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</si>
  <si>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</si>
  <si>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</si>
  <si>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</si>
  <si>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</si>
  <si>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</si>
  <si>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</si>
  <si>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</si>
  <si>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</si>
  <si>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</si>
  <si>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</si>
  <si>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</si>
  <si>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</si>
  <si>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</si>
  <si>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</si>
  <si>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</si>
  <si>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</si>
  <si>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</si>
  <si>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</si>
  <si>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</si>
  <si>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</si>
  <si>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</si>
  <si>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</si>
  <si>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</si>
  <si>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</si>
  <si>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</si>
  <si>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</si>
  <si>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</si>
  <si>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</si>
  <si>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</si>
  <si>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</si>
  <si>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</si>
  <si>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</si>
  <si>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</si>
  <si>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</si>
  <si>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</si>
  <si>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</si>
  <si>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</si>
  <si>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</si>
  <si>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</si>
  <si>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</si>
  <si>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</si>
  <si>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</si>
  <si>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</si>
  <si>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</si>
  <si>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</si>
  <si>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</si>
  <si>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</si>
  <si>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</si>
  <si>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</si>
  <si>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</si>
  <si>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</si>
  <si>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</si>
  <si>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</si>
  <si>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</si>
  <si>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</si>
  <si>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</si>
  <si>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</si>
  <si>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</si>
  <si>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</si>
  <si>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</si>
  <si>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</si>
  <si>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</si>
  <si>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</si>
  <si>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</si>
  <si>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</si>
  <si>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</si>
  <si>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</si>
  <si>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</si>
  <si>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</si>
  <si>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</si>
  <si>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</si>
  <si>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</si>
  <si>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</si>
  <si>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</si>
  <si>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</si>
  <si>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</si>
  <si>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</si>
  <si>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</si>
  <si>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</si>
  <si>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</si>
  <si>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</si>
  <si>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</si>
  <si>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</si>
  <si>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</si>
  <si>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</si>
  <si>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</si>
  <si>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</si>
  <si>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</si>
  <si>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</si>
  <si>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</si>
  <si>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</si>
  <si>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</si>
  <si>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</si>
  <si>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</si>
  <si>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</si>
  <si>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</si>
  <si>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</si>
  <si>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</si>
  <si>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</si>
  <si>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</si>
  <si>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</si>
  <si>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</si>
  <si>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</si>
  <si>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</si>
  <si>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</si>
  <si>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</si>
  <si>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</si>
  <si>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</si>
  <si>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</si>
  <si>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</si>
  <si>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</si>
  <si>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</si>
  <si>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</si>
  <si>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</si>
  <si>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</si>
  <si>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</si>
  <si>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</si>
  <si>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</si>
  <si>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</si>
  <si>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</si>
  <si>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</si>
  <si>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</si>
  <si>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</si>
  <si>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</si>
  <si>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</si>
  <si>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</si>
  <si>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</si>
  <si>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</si>
  <si>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</si>
  <si>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</si>
  <si>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</si>
  <si>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</si>
  <si>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</si>
  <si>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</si>
  <si>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</si>
  <si>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</si>
  <si>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</si>
  <si>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</si>
  <si>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</si>
  <si>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</si>
  <si>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</si>
  <si>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</si>
  <si>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</si>
  <si>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</si>
  <si>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</si>
  <si>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</si>
  <si>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</si>
  <si>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</si>
  <si>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</si>
  <si>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</si>
  <si>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</si>
  <si>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</si>
  <si>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</si>
  <si>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</si>
  <si>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</si>
  <si>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</si>
  <si>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</si>
  <si>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</si>
  <si>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</si>
  <si>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</si>
  <si>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</si>
  <si>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</si>
  <si>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</si>
  <si>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</si>
  <si>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</si>
  <si>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</si>
  <si>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</si>
  <si>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</si>
  <si>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</si>
  <si>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</si>
  <si>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</si>
  <si>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</si>
  <si>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</si>
  <si>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</si>
  <si>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</si>
  <si>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</si>
  <si>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</si>
  <si>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</si>
  <si>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</si>
  <si>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</si>
  <si>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</si>
  <si>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</si>
  <si>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</si>
  <si>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</si>
  <si>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</si>
  <si>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</si>
  <si>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</si>
  <si>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</si>
  <si>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</si>
  <si>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</si>
  <si>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</si>
  <si>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</si>
  <si>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</si>
  <si>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</si>
  <si>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</si>
  <si>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</si>
  <si>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</si>
  <si>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</si>
  <si>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</si>
  <si>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</si>
  <si>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</si>
  <si>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</si>
  <si>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</si>
  <si>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</si>
  <si>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</si>
  <si>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</si>
  <si>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</si>
  <si>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</si>
  <si>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</si>
  <si>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</si>
  <si>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</si>
  <si>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</si>
  <si>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</si>
  <si>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</si>
  <si>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</si>
  <si>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</si>
  <si>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</si>
  <si>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</si>
  <si>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</si>
  <si>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</si>
  <si>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</si>
  <si>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</si>
  <si>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</si>
  <si>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</si>
  <si>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</si>
  <si>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</si>
  <si>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</si>
  <si>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</si>
  <si>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</si>
  <si>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</si>
  <si>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</si>
  <si>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</si>
  <si>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</si>
  <si>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</si>
  <si>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</si>
  <si>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</si>
  <si>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</si>
  <si>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</si>
  <si>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</si>
  <si>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</si>
  <si>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</si>
  <si>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</si>
  <si>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</si>
  <si>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</si>
  <si>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</si>
  <si>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</si>
  <si>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</si>
  <si>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</si>
  <si>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</si>
  <si>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</si>
  <si>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</si>
  <si>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</si>
  <si>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</si>
  <si>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</si>
  <si>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</si>
  <si>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</si>
  <si>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</si>
  <si>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</si>
  <si>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</si>
  <si>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</si>
  <si>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</si>
  <si>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</si>
  <si>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</si>
  <si>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</si>
  <si>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</si>
  <si>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</si>
  <si>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</si>
  <si>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</si>
  <si>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</si>
  <si>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</si>
  <si>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</si>
  <si>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</si>
  <si>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</si>
  <si>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</si>
  <si>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</si>
  <si>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</si>
  <si>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</si>
  <si>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</si>
  <si>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</si>
  <si>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</si>
  <si>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</si>
  <si>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</si>
  <si>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</si>
  <si>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</si>
  <si>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</si>
  <si>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</si>
  <si>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</si>
  <si>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</si>
  <si>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</si>
  <si>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</si>
  <si>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</si>
  <si>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</si>
  <si>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</si>
  <si>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</si>
  <si>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</si>
  <si>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</si>
  <si>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</si>
  <si>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</si>
  <si>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</si>
  <si>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</si>
  <si>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</si>
  <si>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</si>
  <si>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</si>
  <si>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</si>
  <si>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</si>
  <si>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</si>
  <si>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</si>
  <si>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</si>
  <si>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</si>
  <si>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</si>
  <si>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</si>
  <si>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</si>
  <si>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</si>
  <si>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</si>
  <si>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</si>
  <si>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</si>
  <si>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</si>
  <si>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</si>
  <si>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</si>
  <si>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</si>
  <si>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</si>
  <si>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</si>
  <si>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</si>
  <si>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</si>
  <si>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</si>
  <si>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</si>
  <si>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</si>
  <si>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</si>
  <si>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</si>
  <si>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</si>
  <si>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</si>
  <si>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</si>
  <si>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</si>
  <si>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</si>
  <si>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</si>
  <si>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</si>
  <si>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</si>
  <si>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</si>
  <si>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</si>
  <si>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</si>
  <si>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</si>
  <si>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</si>
  <si>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</si>
  <si>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</si>
  <si>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</si>
  <si>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</si>
  <si>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</si>
  <si>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</si>
  <si>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</si>
  <si>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</si>
  <si>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</si>
  <si>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</si>
  <si>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</si>
  <si>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</si>
  <si>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</si>
  <si>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</si>
  <si>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</si>
  <si>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</si>
  <si>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</si>
  <si>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</si>
  <si>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</si>
  <si>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</si>
  <si>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</si>
  <si>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</si>
  <si>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</si>
  <si>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</si>
  <si>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</si>
  <si>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</si>
  <si>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</si>
  <si>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</si>
  <si>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</si>
  <si>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</si>
  <si>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</si>
  <si>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</si>
  <si>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</si>
  <si>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</si>
  <si>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</si>
  <si>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</si>
  <si>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</si>
  <si>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</si>
  <si>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</si>
  <si>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</si>
  <si>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</si>
  <si>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</si>
  <si>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</si>
  <si>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</si>
  <si>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</si>
  <si>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</si>
  <si>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</si>
  <si>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</si>
  <si>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</si>
  <si>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</si>
  <si>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</si>
  <si>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</si>
  <si>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</si>
  <si>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</si>
  <si>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</si>
  <si>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</si>
  <si>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</si>
  <si>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</si>
  <si>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</si>
  <si>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</si>
  <si>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</si>
  <si>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</si>
  <si>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</si>
  <si>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</si>
  <si>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</si>
  <si>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</si>
  <si>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</si>
  <si>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</si>
  <si>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</si>
  <si>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</si>
  <si>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</si>
  <si>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</si>
  <si>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</si>
  <si>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</si>
  <si>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</si>
  <si>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</si>
  <si>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</si>
  <si>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</si>
  <si>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</si>
  <si>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</si>
  <si>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</si>
  <si>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</si>
  <si>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</si>
  <si>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</si>
  <si>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</si>
  <si>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</si>
  <si>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</si>
  <si>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</si>
  <si>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</si>
  <si>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</si>
  <si>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</si>
  <si>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</si>
  <si>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</si>
  <si>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</si>
  <si>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</si>
  <si>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</si>
  <si>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</si>
  <si>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</si>
  <si>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</si>
  <si>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</si>
  <si>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</si>
  <si>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</si>
  <si>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</si>
  <si>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</si>
  <si>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</si>
  <si>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</si>
  <si>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</si>
  <si>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</si>
  <si>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</si>
  <si>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</si>
  <si>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</si>
  <si>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</si>
  <si>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</si>
  <si>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</si>
  <si>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</si>
  <si>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</si>
  <si>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</si>
  <si>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</si>
  <si>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</si>
  <si>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</si>
  <si>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</si>
  <si>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</si>
  <si>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</si>
  <si>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</si>
  <si>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</si>
  <si>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</si>
  <si>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</si>
  <si>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</si>
  <si>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</si>
  <si>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</si>
  <si>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</si>
  <si>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</si>
  <si>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</si>
  <si>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</si>
  <si>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</si>
  <si>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</si>
  <si>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</si>
  <si>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</si>
  <si>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</si>
  <si>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</si>
  <si>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</si>
  <si>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</si>
  <si>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</si>
  <si>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</si>
  <si>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</si>
  <si>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</si>
  <si>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</si>
  <si>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</si>
  <si>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</si>
  <si>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</si>
  <si>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</si>
  <si>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</si>
  <si>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</si>
  <si>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</si>
  <si>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</si>
  <si>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</si>
  <si>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</si>
  <si>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</si>
  <si>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</si>
  <si>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</si>
  <si>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</si>
  <si>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</si>
  <si>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</si>
  <si>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</si>
  <si>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</si>
  <si>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</si>
  <si>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</si>
  <si>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</si>
  <si>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</si>
  <si>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</si>
  <si>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</si>
  <si>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</si>
  <si>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</si>
  <si>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</si>
  <si>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</si>
  <si>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</si>
  <si>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</si>
  <si>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</si>
  <si>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</si>
  <si>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</si>
  <si>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</si>
  <si>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</si>
  <si>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</si>
  <si>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</si>
  <si>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</si>
  <si>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</si>
  <si>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</si>
  <si>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</si>
  <si>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</si>
  <si>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</si>
  <si>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</si>
  <si>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</si>
  <si>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</si>
  <si>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</si>
  <si>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</si>
  <si>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</si>
  <si>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</si>
  <si>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</si>
  <si>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</si>
  <si>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</si>
  <si>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</si>
  <si>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</si>
  <si>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</si>
  <si>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</si>
  <si>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</si>
  <si>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</si>
  <si>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</si>
  <si>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</si>
  <si>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</si>
  <si>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</si>
  <si>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</si>
  <si>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</si>
  <si>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</si>
  <si>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</si>
  <si>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</si>
  <si>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</si>
  <si>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</si>
  <si>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</si>
  <si>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</si>
  <si>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</si>
  <si>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</si>
  <si>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</si>
  <si>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</si>
  <si>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</si>
  <si>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</si>
  <si>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</si>
  <si>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</si>
  <si>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</si>
  <si>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</si>
  <si>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</si>
  <si>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</si>
  <si>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</si>
  <si>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</si>
  <si>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</si>
  <si>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</si>
  <si>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</si>
  <si>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</si>
  <si>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</si>
  <si>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</si>
  <si>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</si>
  <si>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</si>
  <si>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</si>
  <si>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</si>
  <si>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</si>
  <si>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</si>
  <si>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</si>
  <si>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</si>
  <si>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</si>
  <si>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</si>
  <si>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</si>
  <si>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</si>
  <si>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</si>
  <si>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</si>
  <si>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</si>
  <si>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</si>
  <si>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</si>
  <si>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</si>
  <si>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</si>
  <si>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</si>
  <si>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</si>
  <si>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</si>
  <si>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</si>
  <si>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</si>
  <si>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</si>
  <si>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</si>
  <si>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</si>
  <si>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</si>
  <si>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</si>
  <si>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</si>
  <si>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</si>
  <si>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</si>
  <si>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</si>
  <si>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</si>
  <si>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</si>
  <si>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</si>
  <si>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</si>
  <si>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</si>
  <si>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</si>
  <si>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</si>
  <si>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</si>
  <si>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</si>
  <si>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</si>
  <si>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</si>
  <si>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</si>
  <si>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</si>
  <si>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</si>
  <si>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</si>
  <si>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</si>
  <si>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</si>
  <si>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</si>
  <si>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</si>
  <si>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</si>
  <si>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</si>
  <si>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</si>
  <si>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</si>
  <si>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</si>
  <si>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</si>
  <si>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</si>
  <si>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</si>
  <si>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</si>
  <si>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</si>
  <si>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</si>
  <si>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</si>
  <si>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</si>
  <si>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</si>
  <si>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</si>
  <si>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</si>
  <si>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</si>
  <si>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</si>
  <si>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</si>
  <si>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</si>
  <si>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</si>
  <si>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</si>
  <si>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</si>
  <si>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</si>
  <si>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</si>
  <si>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</si>
  <si>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</si>
  <si>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</si>
  <si>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</si>
  <si>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</si>
  <si>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</si>
  <si>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</si>
  <si>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</si>
  <si>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</si>
  <si>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</si>
  <si>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</si>
  <si>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</si>
  <si>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</si>
  <si>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</si>
  <si>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</si>
  <si>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</si>
  <si>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</si>
  <si>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</si>
  <si>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</si>
  <si>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</si>
  <si>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</si>
  <si>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</si>
  <si>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</si>
  <si>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</si>
  <si>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</si>
  <si>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</si>
  <si>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</si>
  <si>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</si>
  <si>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</si>
  <si>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</si>
  <si>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</si>
  <si>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</si>
  <si>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</si>
  <si>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</si>
  <si>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</si>
  <si>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</si>
  <si>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</si>
  <si>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</si>
  <si>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</si>
  <si>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</si>
  <si>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</si>
  <si>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</si>
  <si>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</si>
  <si>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</si>
  <si>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</si>
  <si>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</si>
  <si>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</si>
  <si>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</si>
  <si>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</si>
  <si>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</si>
  <si>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</si>
  <si>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</si>
  <si>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</si>
  <si>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</si>
  <si>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</si>
  <si>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</si>
  <si>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</si>
  <si>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</si>
  <si>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</si>
  <si>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</si>
  <si>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</si>
  <si>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</si>
  <si>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</si>
  <si>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</si>
  <si>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</si>
  <si>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</si>
  <si>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</si>
  <si>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</si>
  <si>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</si>
  <si>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</si>
  <si>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</si>
  <si>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</si>
  <si>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</si>
  <si>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</si>
  <si>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</si>
  <si>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</si>
  <si>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</si>
  <si>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</si>
  <si>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</si>
  <si>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</si>
  <si>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</si>
  <si>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</si>
  <si>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</si>
  <si>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</si>
  <si>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</si>
  <si>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</si>
  <si>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</si>
  <si>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</si>
  <si>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</si>
  <si>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</si>
  <si>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</si>
  <si>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</si>
  <si>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</si>
  <si>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</si>
  <si>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</si>
  <si>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</si>
  <si>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</si>
  <si>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</si>
  <si>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</si>
  <si>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</si>
  <si>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</si>
  <si>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</si>
  <si>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</si>
  <si>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</si>
  <si>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</si>
  <si>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</si>
  <si>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</si>
  <si>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</si>
  <si>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</si>
  <si>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</si>
  <si>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</si>
  <si>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</si>
  <si>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</si>
  <si>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</si>
  <si>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</si>
  <si>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</si>
  <si>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</si>
  <si>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</si>
  <si>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</si>
  <si>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</si>
  <si>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</si>
  <si>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</si>
  <si>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</si>
  <si>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</si>
  <si>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</si>
  <si>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</si>
  <si>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</si>
  <si>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</si>
  <si>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</si>
  <si>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</si>
  <si>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</si>
  <si>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</si>
  <si>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</si>
  <si>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</si>
  <si>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</si>
  <si>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</si>
  <si>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</si>
  <si>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</si>
  <si>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</si>
  <si>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</si>
  <si>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</si>
  <si>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</si>
  <si>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</si>
  <si>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</si>
  <si>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</si>
  <si>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</si>
  <si>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</si>
  <si>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</si>
  <si>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</si>
  <si>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</si>
  <si>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</si>
  <si>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</si>
  <si>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</si>
  <si>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</si>
  <si>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</si>
  <si>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</si>
  <si>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</si>
  <si>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</si>
  <si>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</si>
  <si>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</si>
  <si>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</si>
  <si>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</si>
  <si>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</si>
  <si>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</si>
  <si>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</si>
  <si>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</si>
  <si>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</si>
  <si>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</si>
  <si>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</si>
  <si>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</si>
  <si>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</si>
  <si>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</si>
  <si>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</si>
  <si>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</si>
  <si>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</si>
  <si>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</si>
  <si>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</si>
  <si>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</si>
  <si>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</si>
  <si>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</si>
  <si>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</si>
  <si>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</si>
  <si>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</si>
  <si>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</si>
  <si>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</si>
  <si>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</si>
  <si>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</si>
  <si>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</si>
  <si>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</si>
  <si>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</si>
  <si>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</si>
  <si>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</si>
  <si>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</si>
  <si>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</si>
  <si>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</si>
  <si>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</si>
  <si>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</si>
  <si>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</si>
  <si>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</si>
  <si>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</si>
  <si>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</si>
  <si>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</si>
  <si>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</si>
  <si>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</si>
  <si>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</si>
  <si>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</si>
  <si>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</si>
  <si>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</si>
  <si>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</si>
  <si>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</si>
  <si>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</si>
  <si>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</si>
  <si>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</si>
  <si>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</si>
  <si>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</si>
  <si>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</si>
  <si>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</si>
  <si>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</si>
  <si>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</si>
  <si>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</si>
  <si>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</si>
  <si>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</si>
  <si>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</si>
  <si>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</si>
  <si>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</si>
  <si>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</si>
  <si>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</si>
  <si>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</si>
  <si>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</si>
  <si>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</si>
  <si>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</si>
  <si>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</si>
  <si>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</si>
  <si>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</si>
  <si>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</si>
  <si>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</si>
  <si>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</si>
  <si>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</si>
  <si>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</si>
  <si>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</si>
  <si>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</si>
  <si>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</si>
  <si>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</si>
  <si>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</si>
  <si>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</si>
  <si>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</si>
  <si>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</si>
  <si>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</si>
  <si>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</si>
  <si>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</si>
  <si>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</si>
  <si>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</si>
  <si>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</si>
  <si>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</si>
  <si>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</si>
  <si>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</si>
  <si>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</si>
  <si>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</si>
  <si>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</si>
  <si>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</si>
  <si>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</si>
  <si>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</si>
  <si>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</si>
  <si>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</si>
  <si>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</si>
  <si>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</si>
  <si>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</si>
  <si>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</si>
  <si>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</si>
  <si>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</si>
  <si>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</si>
  <si>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</si>
  <si>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</si>
  <si>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</si>
  <si>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</si>
  <si>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</si>
  <si>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</si>
  <si>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</si>
  <si>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</si>
  <si>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</si>
  <si>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</si>
  <si>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</si>
  <si>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</si>
  <si>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</si>
  <si>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</si>
  <si>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</si>
  <si>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</si>
  <si>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</si>
  <si>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</si>
  <si>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</si>
  <si>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</si>
  <si>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</si>
  <si>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</si>
  <si>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</si>
  <si>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</si>
  <si>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</si>
  <si>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</si>
  <si>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</si>
  <si>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</si>
  <si>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</si>
  <si>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</si>
  <si>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</si>
  <si>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</si>
  <si>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</si>
  <si>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</si>
  <si>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</si>
  <si>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</si>
  <si>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</si>
  <si>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</si>
  <si>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</si>
  <si>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</si>
  <si>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</si>
  <si>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</si>
  <si>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</si>
  <si>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</si>
  <si>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</si>
  <si>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</si>
  <si>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</si>
  <si>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</si>
  <si>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</si>
  <si>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</si>
  <si>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</si>
  <si>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</si>
  <si>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</si>
  <si>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</si>
  <si>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</si>
  <si>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</si>
  <si>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</si>
  <si>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</si>
  <si>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</si>
  <si>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</si>
  <si>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</si>
  <si>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</si>
  <si>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</si>
  <si>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</si>
  <si>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</si>
  <si>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</si>
  <si>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</si>
  <si>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</si>
  <si>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</si>
  <si>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</si>
  <si>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</si>
  <si>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</si>
  <si>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</si>
  <si>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</si>
  <si>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</si>
  <si>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</si>
  <si>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</si>
  <si>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</si>
  <si>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</si>
  <si>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</si>
  <si>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</si>
  <si>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</si>
  <si>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</si>
  <si>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</si>
  <si>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</si>
  <si>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</si>
  <si>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</si>
  <si>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</si>
  <si>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</si>
  <si>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</si>
  <si>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</si>
  <si>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</si>
  <si>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</si>
  <si>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</si>
  <si>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</si>
  <si>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</si>
  <si>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</si>
  <si>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</si>
  <si>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</si>
  <si>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</si>
  <si>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</si>
  <si>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</si>
  <si>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</si>
  <si>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</si>
  <si>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</si>
  <si>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</si>
  <si>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</si>
  <si>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</si>
  <si>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</si>
  <si>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</si>
  <si>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</si>
  <si>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</si>
  <si>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</si>
  <si>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</si>
  <si>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</si>
  <si>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</si>
  <si>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</si>
  <si>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</si>
  <si>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</si>
  <si>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</si>
  <si>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</si>
  <si>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</si>
  <si>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</si>
  <si>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</si>
  <si>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</si>
  <si>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</si>
  <si>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</si>
  <si>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</si>
  <si>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</si>
  <si>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</si>
  <si>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</si>
  <si>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</si>
  <si>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</si>
  <si>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</si>
  <si>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</si>
  <si>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</si>
  <si>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</si>
  <si>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</si>
  <si>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</si>
  <si>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</si>
  <si>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</si>
  <si>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</si>
  <si>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</si>
  <si>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</si>
  <si>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</si>
  <si>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</si>
  <si>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</si>
  <si>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</si>
  <si>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</si>
  <si>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</si>
  <si>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</si>
  <si>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</si>
  <si>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</si>
  <si>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</si>
  <si>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</si>
  <si>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</si>
  <si>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</si>
  <si>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</si>
  <si>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</si>
  <si>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</si>
  <si>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</si>
  <si>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</si>
  <si>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</si>
  <si>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</si>
  <si>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</si>
  <si>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</si>
  <si>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</si>
  <si>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</si>
  <si>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</si>
  <si>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</si>
  <si>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</si>
  <si>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</si>
  <si>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</si>
  <si>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</si>
  <si>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</si>
  <si>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</si>
  <si>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</si>
  <si>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</si>
  <si>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</si>
  <si>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</si>
  <si>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</si>
  <si>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</si>
  <si>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</si>
  <si>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</si>
  <si>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</si>
  <si>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</si>
  <si>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</si>
  <si>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</si>
  <si>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</si>
  <si>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</si>
  <si>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</si>
  <si>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</si>
  <si>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</si>
  <si>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</si>
  <si>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</si>
  <si>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</si>
  <si>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</si>
  <si>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</si>
  <si>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</si>
  <si>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</si>
  <si>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</si>
  <si>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</si>
  <si>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</si>
  <si>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</si>
  <si>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</si>
  <si>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</si>
  <si>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</si>
  <si>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</si>
  <si>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</si>
  <si>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</si>
  <si>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</si>
  <si>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</si>
  <si>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</si>
  <si>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</si>
  <si>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</si>
  <si>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</si>
  <si>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</si>
  <si>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</si>
  <si>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</si>
  <si>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</si>
  <si>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</si>
  <si>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</si>
  <si>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</si>
  <si>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</si>
  <si>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</si>
  <si>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</si>
  <si>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</si>
  <si>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</si>
  <si>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</si>
  <si>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</si>
  <si>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</si>
  <si>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</si>
  <si>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</si>
  <si>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</si>
  <si>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</si>
  <si>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</si>
  <si>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</si>
  <si>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</si>
  <si>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</si>
  <si>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</si>
  <si>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</si>
  <si>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</si>
  <si>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</si>
  <si>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</si>
  <si>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</si>
  <si>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</si>
  <si>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</si>
  <si>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</si>
  <si>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</si>
  <si>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</si>
  <si>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</si>
  <si>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</si>
  <si>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</si>
  <si>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</si>
  <si>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</si>
  <si>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</si>
  <si>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</si>
  <si>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</si>
  <si>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</si>
  <si>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</si>
  <si>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</si>
  <si>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</si>
  <si>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</si>
  <si>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</si>
  <si>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</si>
  <si>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</si>
  <si>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</si>
  <si>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</si>
  <si>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</si>
  <si>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</si>
  <si>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</si>
  <si>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</si>
  <si>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</si>
  <si>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</si>
  <si>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</si>
  <si>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</si>
  <si>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</si>
  <si>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</si>
  <si>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</si>
  <si>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</si>
  <si>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</si>
  <si>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</si>
  <si>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</si>
  <si>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</si>
  <si>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</si>
  <si>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</si>
  <si>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</si>
  <si>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</si>
  <si>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</si>
  <si>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</si>
  <si>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</si>
  <si>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</si>
  <si>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</si>
  <si>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</si>
  <si>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</si>
  <si>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</si>
  <si>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</si>
  <si>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</si>
  <si>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</si>
  <si>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</si>
  <si>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</si>
  <si>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</si>
  <si>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</si>
  <si>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</si>
  <si>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</si>
  <si>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</si>
  <si>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</si>
  <si>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</si>
  <si>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</si>
  <si>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</si>
  <si>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</si>
  <si>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</si>
  <si>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</si>
  <si>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</si>
  <si>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</si>
  <si>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</si>
  <si>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</si>
  <si>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</si>
  <si>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</si>
  <si>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</si>
  <si>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</si>
  <si>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</si>
  <si>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</si>
  <si>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</si>
  <si>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</si>
  <si>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</si>
  <si>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</si>
  <si>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</si>
  <si>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</si>
  <si>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</si>
  <si>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</si>
  <si>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</si>
  <si>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</si>
  <si>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</si>
  <si>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</si>
  <si>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</si>
  <si>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</si>
  <si>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</si>
  <si>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</si>
  <si>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</si>
  <si>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</si>
  <si>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</si>
  <si>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</si>
  <si>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</si>
  <si>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</si>
  <si>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</si>
  <si>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</si>
  <si>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</si>
  <si>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</si>
  <si>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</si>
  <si>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</si>
  <si>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</si>
  <si>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</si>
  <si>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</si>
  <si>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</si>
  <si>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</si>
  <si>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</si>
  <si>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</si>
  <si>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</si>
  <si>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</si>
  <si>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</si>
  <si>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</si>
  <si>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</si>
  <si>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</si>
  <si>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</si>
  <si>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</si>
  <si>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</si>
  <si>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</si>
  <si>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</si>
  <si>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</si>
  <si>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</si>
  <si>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</si>
  <si>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</si>
  <si>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</si>
  <si>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</si>
  <si>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</si>
  <si>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</si>
  <si>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</si>
  <si>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</si>
  <si>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</si>
  <si>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</si>
  <si>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</si>
  <si>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</si>
  <si>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</si>
  <si>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</si>
  <si>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</si>
  <si>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</si>
  <si>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</si>
  <si>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</si>
  <si>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</si>
  <si>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</si>
  <si>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</si>
  <si>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</si>
  <si>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</si>
  <si>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</si>
  <si>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</si>
  <si>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</si>
  <si>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</si>
  <si>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</si>
  <si>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</si>
  <si>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</si>
  <si>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</si>
  <si>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</si>
  <si>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</si>
  <si>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</si>
  <si>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</si>
  <si>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</si>
  <si>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</si>
  <si>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</si>
  <si>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</si>
  <si>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</si>
  <si>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</si>
  <si>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</si>
  <si>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</si>
  <si>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</si>
  <si>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</si>
  <si>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</si>
  <si>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</si>
  <si>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</si>
  <si>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</si>
  <si>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</si>
  <si>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</si>
  <si>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</si>
  <si>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</si>
  <si>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</si>
  <si>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</si>
  <si>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</si>
  <si>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</si>
  <si>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</si>
  <si>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</si>
  <si>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</si>
  <si>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</si>
  <si>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</si>
  <si>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</si>
  <si>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</si>
  <si>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</si>
  <si>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</si>
  <si>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</si>
  <si>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</si>
  <si>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</si>
  <si>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</si>
  <si>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</si>
  <si>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</si>
  <si>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</si>
  <si>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</si>
  <si>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</si>
  <si>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</si>
  <si>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</si>
  <si>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</si>
  <si>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</si>
  <si>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</si>
  <si>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</si>
  <si>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</si>
  <si>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</si>
  <si>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</si>
  <si>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</si>
  <si>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</si>
  <si>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</si>
  <si>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</si>
  <si>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</si>
  <si>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</si>
  <si>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</si>
  <si>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</si>
  <si>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</si>
  <si>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</si>
  <si>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</si>
  <si>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</si>
  <si>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</si>
  <si>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</si>
  <si>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</si>
  <si>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</si>
  <si>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</si>
  <si>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</si>
  <si>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</si>
  <si>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</si>
  <si>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</si>
  <si>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</si>
  <si>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</si>
  <si>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</si>
  <si>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</si>
  <si>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</si>
  <si>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</si>
  <si>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</si>
  <si>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</si>
  <si>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</si>
  <si>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</si>
  <si>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</si>
  <si>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</si>
  <si>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</si>
  <si>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</si>
  <si>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</si>
  <si>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</si>
  <si>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</si>
  <si>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</si>
  <si>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</si>
  <si>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</si>
  <si>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</si>
  <si>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</si>
  <si>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</si>
  <si>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</si>
  <si>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</si>
  <si>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</si>
  <si>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</si>
  <si>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</si>
  <si>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</si>
  <si>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</si>
  <si>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</si>
  <si>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</si>
  <si>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</si>
  <si>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</si>
  <si>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</si>
  <si>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</si>
  <si>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</si>
  <si>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</si>
  <si>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</si>
  <si>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</si>
  <si>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</si>
  <si>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</si>
  <si>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</si>
  <si>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</si>
  <si>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</si>
  <si>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</si>
  <si>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</si>
  <si>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</si>
  <si>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</si>
  <si>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</si>
  <si>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</si>
  <si>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</si>
  <si>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</si>
  <si>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</si>
  <si>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</si>
  <si>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</si>
  <si>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</si>
  <si>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</si>
  <si>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</si>
  <si>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</si>
  <si>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</si>
  <si>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</si>
  <si>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</si>
  <si>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</si>
  <si>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</si>
  <si>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</si>
  <si>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</si>
  <si>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</si>
  <si>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</si>
  <si>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</si>
  <si>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</si>
  <si>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</si>
  <si>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</si>
  <si>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</si>
  <si>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</si>
  <si>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</si>
  <si>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</si>
  <si>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</si>
  <si>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</si>
  <si>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</si>
  <si>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</si>
  <si>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</si>
  <si>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</si>
  <si>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</si>
  <si>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</si>
  <si>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</si>
  <si>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</si>
  <si>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</si>
  <si>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</si>
  <si>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</si>
  <si>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</si>
  <si>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</si>
  <si>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</si>
  <si>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</si>
  <si>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</si>
  <si>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</si>
  <si>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</si>
  <si>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</si>
  <si>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</si>
  <si>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</si>
  <si>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</si>
  <si>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</si>
  <si>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</si>
  <si>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</si>
  <si>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</si>
  <si>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</si>
  <si>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</si>
  <si>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</si>
  <si>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</si>
  <si>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</si>
  <si>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</si>
  <si>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</si>
  <si>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</si>
  <si>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</si>
  <si>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</si>
  <si>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</si>
  <si>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</si>
  <si>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</si>
  <si>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</si>
  <si>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</si>
  <si>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</si>
  <si>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</si>
  <si>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</si>
  <si>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</si>
  <si>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</si>
  <si>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</si>
  <si>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</si>
  <si>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</si>
  <si>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</si>
  <si>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</si>
  <si>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</si>
  <si>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</si>
  <si>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</si>
  <si>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</si>
  <si>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</si>
  <si>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</si>
  <si>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</si>
  <si>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</si>
  <si>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</si>
  <si>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</si>
  <si>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</si>
  <si>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</si>
  <si>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</si>
  <si>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</si>
  <si>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</si>
  <si>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</si>
  <si>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</si>
  <si>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</si>
  <si>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</si>
  <si>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</si>
  <si>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</si>
  <si>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</si>
  <si>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</si>
  <si>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</si>
  <si>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</si>
  <si>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</si>
  <si>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</si>
  <si>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</si>
  <si>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</si>
  <si>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</si>
  <si>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</si>
  <si>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</si>
  <si>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</si>
  <si>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</si>
  <si>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</si>
  <si>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</si>
  <si>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</si>
  <si>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</si>
  <si>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</si>
  <si>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</si>
  <si>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</si>
  <si>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</si>
  <si>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</si>
  <si>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</si>
  <si>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</si>
  <si>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</si>
  <si>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</si>
  <si>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</si>
  <si>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</si>
  <si>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</si>
  <si>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</si>
  <si>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</si>
  <si>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</si>
  <si>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</si>
  <si>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</si>
  <si>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</si>
  <si>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</si>
  <si>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</si>
  <si>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</si>
  <si>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</si>
  <si>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</si>
  <si>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</si>
  <si>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</si>
  <si>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</si>
  <si>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</si>
  <si>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</si>
  <si>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</si>
  <si>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</si>
  <si>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</si>
  <si>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</si>
  <si>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</si>
  <si>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</si>
  <si>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</si>
  <si>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</si>
  <si>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</si>
  <si>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</si>
  <si>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</si>
  <si>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</si>
  <si>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</si>
  <si>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</si>
  <si>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</si>
  <si>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</si>
  <si>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</si>
  <si>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</si>
  <si>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</si>
  <si>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</si>
  <si>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</si>
  <si>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</si>
  <si>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</si>
  <si>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</si>
  <si>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</si>
  <si>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</si>
  <si>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</si>
  <si>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</si>
  <si>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</si>
  <si>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</si>
  <si>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</si>
  <si>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</si>
  <si>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</si>
  <si>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</si>
  <si>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</si>
  <si>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</si>
  <si>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</si>
  <si>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</si>
  <si>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</si>
  <si>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</si>
  <si>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</si>
  <si>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</si>
  <si>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</si>
  <si>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</si>
  <si>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</si>
  <si>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</si>
  <si>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</si>
  <si>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</si>
  <si>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</si>
  <si>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</si>
  <si>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</si>
  <si>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</si>
  <si>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</si>
  <si>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</si>
  <si>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</si>
  <si>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</si>
  <si>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</si>
  <si>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</si>
  <si>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</si>
  <si>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</si>
  <si>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</si>
  <si>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</si>
  <si>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</si>
  <si>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</si>
  <si>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</si>
  <si>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</si>
  <si>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</si>
  <si>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</si>
  <si>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</si>
  <si>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</si>
  <si>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</si>
  <si>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</si>
  <si>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</si>
  <si>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</si>
  <si>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</si>
  <si>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</si>
  <si>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</si>
  <si>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</si>
  <si>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</si>
  <si>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</si>
  <si>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</si>
  <si>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</si>
  <si>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</si>
  <si>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</si>
  <si>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</si>
  <si>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</si>
  <si>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</si>
  <si>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</si>
  <si>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</si>
  <si>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</si>
  <si>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</si>
  <si>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</si>
  <si>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</si>
  <si>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</si>
  <si>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</si>
  <si>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</si>
  <si>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</si>
  <si>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</si>
  <si>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</si>
  <si>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</si>
  <si>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</si>
  <si>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</si>
  <si>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</si>
  <si>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</si>
  <si>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</si>
  <si>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</si>
  <si>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</si>
  <si>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</si>
  <si>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</si>
  <si>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</si>
  <si>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</si>
  <si>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</si>
  <si>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</si>
  <si>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</si>
  <si>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</si>
  <si>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</si>
  <si>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</si>
  <si>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</si>
  <si>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</si>
  <si>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</si>
  <si>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</si>
  <si>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</si>
  <si>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</si>
  <si>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</si>
  <si>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</si>
  <si>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</si>
  <si>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</si>
  <si>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</si>
  <si>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</si>
  <si>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</si>
  <si>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</si>
  <si>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</si>
  <si>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</si>
  <si>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</si>
  <si>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</si>
  <si>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</si>
  <si>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</si>
  <si>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</si>
  <si>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</si>
  <si>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</si>
  <si>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</si>
  <si>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</si>
  <si>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</si>
  <si>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</si>
  <si>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</si>
  <si>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</si>
  <si>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</si>
  <si>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</si>
  <si>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</si>
  <si>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</si>
  <si>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</si>
  <si>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</si>
  <si>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</si>
  <si>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</si>
  <si>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</si>
  <si>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</si>
  <si>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</si>
  <si>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</si>
  <si>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</si>
  <si>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</si>
  <si>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</si>
  <si>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</si>
  <si>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</si>
  <si>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</si>
  <si>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</si>
  <si>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</si>
  <si>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</si>
  <si>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</si>
  <si>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</si>
  <si>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</si>
  <si>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</si>
  <si>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</si>
  <si>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</si>
  <si>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</si>
  <si>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</si>
  <si>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</si>
  <si>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</si>
  <si>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</si>
  <si>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</si>
  <si>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</si>
  <si>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</si>
  <si>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</si>
  <si>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</si>
  <si>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</si>
  <si>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</si>
  <si>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</si>
  <si>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</si>
  <si>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</si>
  <si>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</si>
  <si>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</si>
  <si>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</si>
  <si>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</si>
  <si>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</si>
  <si>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</si>
  <si>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</si>
  <si>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</si>
  <si>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</si>
  <si>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</si>
  <si>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</si>
  <si>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</si>
  <si>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</si>
  <si>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</si>
  <si>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</si>
  <si>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</si>
  <si>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</si>
  <si>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</si>
  <si>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</si>
  <si>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</si>
  <si>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</si>
  <si>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</si>
  <si>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</si>
  <si>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</si>
  <si>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</si>
  <si>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</si>
  <si>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</si>
  <si>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</si>
  <si>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</si>
  <si>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</si>
  <si>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</si>
  <si>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</si>
  <si>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</si>
  <si>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</si>
  <si>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</si>
  <si>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</si>
  <si>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</si>
  <si>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</si>
  <si>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</si>
  <si>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</si>
  <si>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</si>
  <si>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</si>
  <si>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</si>
  <si>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</si>
  <si>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</si>
  <si>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</si>
  <si>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</si>
  <si>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</si>
  <si>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</si>
  <si>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</si>
  <si>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</si>
  <si>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</si>
  <si>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</si>
  <si>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</si>
  <si>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</si>
  <si>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</si>
  <si>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</si>
  <si>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</si>
  <si>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</si>
  <si>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</si>
  <si>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</si>
  <si>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</si>
  <si>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</si>
  <si>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</si>
  <si>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</si>
  <si>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</si>
  <si>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</si>
  <si>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</si>
  <si>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</si>
  <si>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</si>
  <si>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</si>
  <si>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</si>
  <si>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</si>
  <si>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</si>
  <si>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</si>
  <si>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</si>
  <si>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</si>
  <si>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</si>
  <si>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</si>
  <si>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</si>
  <si>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</si>
  <si>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</si>
  <si>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</si>
  <si>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</si>
  <si>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</si>
  <si>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</si>
  <si>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</si>
  <si>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</si>
  <si>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</si>
  <si>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</si>
  <si>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</si>
  <si>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</si>
  <si>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</si>
  <si>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</si>
  <si>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</si>
  <si>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</si>
  <si>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</si>
  <si>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</si>
  <si>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</si>
  <si>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</si>
  <si>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</si>
  <si>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</si>
  <si>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</si>
  <si>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</si>
  <si>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</si>
  <si>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</si>
  <si>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</si>
  <si>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</si>
  <si>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</si>
  <si>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</si>
  <si>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</si>
  <si>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</si>
  <si>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</si>
  <si>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</si>
  <si>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</si>
  <si>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</si>
  <si>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</si>
  <si>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</si>
  <si>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</si>
  <si>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</si>
  <si>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</si>
  <si>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</si>
  <si>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</si>
  <si>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</si>
  <si>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</si>
  <si>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</si>
  <si>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</si>
  <si>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</si>
  <si>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</si>
  <si>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</si>
  <si>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</si>
  <si>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</si>
  <si>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</si>
  <si>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</si>
  <si>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</si>
  <si>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</si>
  <si>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</si>
  <si>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</si>
  <si>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</si>
  <si>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</si>
  <si>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</si>
  <si>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</si>
  <si>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</si>
  <si>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</si>
  <si>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</si>
  <si>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</si>
  <si>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</si>
  <si>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</si>
  <si>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</si>
  <si>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</si>
  <si>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</si>
  <si>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</si>
  <si>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</si>
  <si>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</si>
  <si>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</si>
  <si>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</si>
  <si>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</si>
  <si>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</si>
  <si>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</si>
  <si>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</si>
  <si>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</si>
  <si>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</si>
  <si>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</si>
  <si>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</si>
  <si>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</si>
  <si>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</si>
  <si>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</si>
  <si>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</si>
  <si>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</si>
  <si>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</si>
  <si>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</si>
  <si>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</si>
  <si>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</si>
  <si>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</si>
  <si>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</si>
  <si>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</si>
  <si>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</si>
  <si>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</si>
  <si>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</si>
  <si>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</si>
  <si>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</si>
  <si>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</si>
  <si>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</si>
  <si>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</si>
  <si>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</si>
  <si>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</si>
  <si>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</si>
  <si>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</si>
  <si>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</si>
  <si>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</si>
  <si>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</si>
  <si>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</si>
  <si>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</si>
  <si>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</si>
  <si>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</si>
  <si>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</si>
  <si>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</si>
  <si>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</si>
  <si>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</si>
  <si>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</si>
  <si>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</si>
  <si>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</si>
  <si>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</si>
  <si>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</si>
  <si>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</si>
  <si>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</si>
  <si>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</si>
  <si>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</si>
  <si>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</si>
  <si>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</si>
  <si>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</si>
  <si>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</si>
  <si>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</si>
  <si>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</si>
  <si>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</si>
  <si>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</si>
  <si>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</si>
  <si>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</si>
  <si>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</si>
  <si>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</si>
  <si>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</si>
  <si>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</si>
  <si>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</si>
  <si>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</si>
  <si>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</si>
  <si>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</si>
  <si>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</si>
  <si>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</si>
  <si>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</si>
  <si>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</si>
  <si>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</si>
  <si>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</si>
  <si>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</si>
  <si>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</si>
  <si>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</si>
  <si>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</si>
  <si>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</si>
  <si>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</si>
  <si>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</si>
  <si>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</si>
  <si>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</si>
  <si>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</si>
  <si>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</si>
  <si>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</si>
  <si>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</si>
  <si>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</si>
  <si>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</si>
  <si>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</si>
  <si>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</si>
  <si>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</si>
  <si>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</si>
  <si>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</si>
  <si>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</si>
  <si>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</si>
  <si>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</si>
  <si>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</si>
  <si>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</si>
  <si>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</si>
  <si>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</si>
  <si>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</si>
  <si>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</si>
  <si>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</si>
  <si>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</si>
  <si>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</si>
  <si>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</si>
  <si>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</si>
  <si>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</si>
  <si>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</si>
  <si>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</si>
  <si>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</si>
  <si>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</si>
  <si>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</si>
  <si>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</si>
  <si>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</si>
  <si>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</si>
  <si>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</si>
  <si>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</si>
  <si>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</si>
  <si>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</si>
  <si>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</si>
  <si>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</si>
  <si>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</si>
  <si>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</si>
  <si>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</si>
  <si>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</si>
  <si>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</si>
  <si>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</si>
  <si>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</si>
  <si>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</si>
  <si>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</si>
  <si>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</si>
  <si>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</si>
  <si>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</si>
  <si>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</si>
  <si>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</si>
  <si>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</si>
  <si>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</si>
  <si>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</si>
  <si>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</si>
  <si>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</si>
  <si>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</si>
  <si>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</si>
  <si>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</si>
  <si>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</si>
  <si>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</si>
  <si>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</si>
  <si>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</si>
  <si>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</si>
  <si>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</si>
  <si>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</si>
  <si>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</si>
  <si>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</si>
  <si>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</si>
  <si>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</si>
  <si>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</si>
  <si>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</si>
  <si>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</si>
  <si>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</si>
  <si>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</si>
  <si>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</si>
  <si>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</si>
  <si>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</si>
  <si>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</si>
  <si>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</si>
  <si>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</si>
  <si>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</si>
  <si>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</si>
  <si>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</si>
  <si>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</si>
  <si>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</si>
  <si>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</si>
  <si>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</si>
  <si>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</si>
  <si>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</si>
  <si>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</si>
  <si>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</si>
  <si>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</si>
  <si>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</si>
  <si>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</si>
  <si>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</si>
  <si>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</si>
  <si>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</si>
  <si>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</si>
  <si>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</si>
  <si>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</si>
  <si>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</si>
  <si>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</si>
  <si>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</si>
  <si>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</si>
  <si>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</si>
  <si>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</si>
  <si>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</si>
  <si>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</si>
  <si>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</si>
  <si>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</si>
  <si>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</si>
  <si>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</si>
  <si>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</si>
  <si>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</si>
  <si>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</si>
  <si>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</si>
  <si>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</si>
  <si>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</si>
  <si>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</si>
  <si>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</si>
  <si>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</si>
  <si>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</si>
  <si>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</si>
  <si>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</si>
  <si>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</si>
  <si>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</si>
  <si>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</si>
  <si>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</si>
  <si>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</si>
  <si>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</si>
  <si>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</si>
  <si>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</si>
  <si>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</si>
  <si>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</si>
  <si>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</si>
  <si>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</si>
  <si>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</si>
  <si>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</si>
  <si>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</si>
  <si>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</si>
  <si>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</si>
  <si>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</si>
  <si>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</si>
  <si>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</si>
  <si>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</si>
  <si>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</si>
  <si>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</si>
  <si>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</si>
  <si>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</si>
  <si>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</si>
  <si>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</si>
  <si>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</si>
  <si>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</si>
  <si>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</si>
  <si>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</si>
  <si>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</si>
  <si>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</si>
  <si>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</si>
  <si>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</si>
  <si>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</si>
  <si>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</si>
  <si>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</si>
  <si>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</si>
  <si>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</si>
  <si>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</si>
  <si>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</si>
  <si>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</si>
  <si>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</si>
  <si>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</si>
  <si>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</si>
  <si>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</si>
  <si>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</si>
  <si>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</si>
  <si>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</si>
  <si>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</si>
  <si>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</si>
  <si>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</si>
  <si>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</si>
  <si>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</si>
  <si>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</si>
  <si>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</si>
  <si>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</si>
  <si>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</si>
  <si>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</si>
  <si>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</si>
  <si>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</si>
  <si>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</si>
  <si>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</si>
  <si>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</si>
  <si>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</si>
  <si>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</si>
  <si>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</si>
  <si>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</si>
  <si>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</si>
  <si>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</si>
  <si>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</si>
  <si>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</si>
  <si>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</si>
  <si>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</si>
  <si>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</si>
  <si>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</si>
  <si>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</si>
  <si>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</si>
  <si>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</si>
  <si>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</si>
  <si>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</si>
  <si>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</si>
  <si>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</si>
  <si>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</si>
  <si>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</si>
  <si>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</si>
  <si>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</si>
  <si>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</si>
  <si>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</si>
  <si>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</si>
  <si>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</si>
  <si>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</si>
  <si>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</si>
  <si>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</si>
  <si>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</si>
  <si>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</si>
  <si>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</si>
  <si>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</si>
  <si>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</si>
  <si>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</si>
  <si>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</si>
  <si>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</si>
  <si>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</si>
  <si>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</si>
  <si>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</si>
  <si>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</si>
  <si>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</si>
  <si>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</si>
  <si>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</si>
  <si>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</si>
  <si>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</si>
  <si>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</si>
  <si>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</si>
  <si>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</si>
  <si>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</si>
  <si>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</si>
  <si>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</si>
  <si>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</si>
  <si>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</si>
  <si>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</si>
  <si>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</si>
  <si>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</si>
  <si>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</si>
  <si>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</si>
  <si>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</si>
  <si>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</si>
  <si>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</si>
  <si>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</si>
  <si>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</si>
  <si>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</si>
  <si>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</si>
  <si>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</si>
  <si>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</si>
  <si>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</si>
  <si>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</si>
  <si>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</si>
  <si>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</si>
  <si>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</si>
  <si>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</si>
  <si>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</si>
  <si>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</si>
  <si>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</si>
  <si>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</si>
  <si>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</si>
  <si>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</si>
  <si>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</si>
  <si>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</si>
  <si>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</si>
  <si>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</si>
  <si>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</si>
  <si>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</si>
  <si>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</si>
  <si>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</si>
  <si>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</si>
  <si>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</si>
  <si>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</si>
  <si>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</si>
  <si>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</si>
  <si>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</si>
  <si>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</si>
  <si>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</si>
  <si>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</si>
  <si>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</si>
  <si>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</si>
  <si>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</si>
  <si>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</si>
  <si>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</si>
  <si>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</si>
  <si>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</si>
  <si>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</si>
  <si>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</si>
  <si>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</si>
  <si>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</si>
  <si>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</si>
  <si>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</si>
  <si>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</si>
  <si>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</si>
  <si>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</si>
  <si>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</si>
  <si>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</si>
  <si>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</si>
  <si>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</si>
  <si>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</si>
  <si>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</si>
  <si>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</si>
  <si>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</si>
  <si>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</si>
  <si>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</si>
  <si>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</si>
  <si>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</si>
  <si>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</si>
  <si>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</si>
  <si>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</si>
  <si>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</si>
  <si>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</si>
  <si>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</si>
  <si>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</si>
  <si>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</si>
  <si>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</si>
  <si>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</si>
  <si>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</si>
  <si>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</si>
  <si>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</si>
  <si>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</si>
  <si>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</si>
  <si>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</si>
  <si>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</si>
  <si>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</si>
  <si>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</si>
  <si>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</si>
  <si>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</si>
  <si>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</si>
  <si>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</si>
  <si>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</si>
  <si>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</si>
  <si>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</si>
  <si>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</si>
  <si>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</si>
  <si>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</si>
  <si>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</si>
  <si>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</si>
  <si>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</si>
  <si>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</si>
  <si>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</si>
  <si>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</si>
  <si>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</si>
  <si>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</si>
  <si>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</si>
  <si>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</si>
  <si>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</si>
  <si>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</si>
  <si>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</si>
  <si>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</si>
  <si>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</si>
  <si>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</si>
  <si>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</si>
  <si>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</si>
  <si>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</si>
  <si>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</si>
  <si>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</si>
  <si>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</si>
  <si>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</si>
  <si>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</si>
  <si>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</si>
  <si>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</si>
  <si>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</si>
  <si>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</si>
  <si>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</si>
  <si>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</si>
  <si>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</si>
  <si>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</si>
  <si>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</si>
  <si>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</si>
  <si>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</si>
  <si>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</si>
  <si>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</si>
  <si>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</si>
  <si>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</si>
  <si>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</si>
  <si>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</si>
  <si>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</si>
  <si>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</si>
  <si>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</si>
  <si>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</si>
  <si>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</si>
  <si>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</si>
  <si>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</si>
  <si>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</si>
  <si>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</si>
  <si>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</si>
  <si>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</si>
  <si>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</si>
  <si>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</si>
  <si>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</si>
  <si>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</si>
  <si>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</si>
  <si>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</si>
  <si>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</si>
  <si>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</si>
  <si>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</si>
  <si>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</si>
  <si>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</si>
  <si>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</si>
  <si>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</si>
  <si>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</si>
  <si>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</si>
  <si>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</si>
  <si>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</si>
  <si>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</si>
  <si>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</si>
  <si>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</si>
  <si>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</si>
  <si>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</si>
  <si>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</si>
  <si>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</si>
  <si>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</si>
  <si>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</si>
  <si>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</si>
  <si>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</si>
  <si>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</si>
  <si>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</si>
  <si>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</si>
  <si>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</si>
  <si>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</si>
  <si>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</si>
  <si>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</si>
  <si>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</si>
  <si>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</si>
  <si>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</si>
  <si>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</si>
  <si>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</si>
  <si>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</si>
  <si>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</si>
  <si>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</si>
  <si>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</si>
  <si>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</si>
  <si>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</si>
  <si>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</si>
  <si>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</si>
  <si>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</si>
  <si>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</si>
  <si>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</si>
  <si>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</si>
  <si>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</si>
  <si>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</si>
  <si>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</si>
  <si>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</si>
  <si>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</si>
  <si>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</si>
  <si>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</si>
  <si>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</si>
  <si>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</si>
  <si>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</si>
  <si>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</si>
  <si>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</si>
  <si>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</si>
  <si>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</si>
  <si>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</si>
  <si>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</si>
  <si>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</si>
  <si>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</si>
  <si>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</si>
  <si>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</si>
  <si>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</si>
  <si>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</si>
  <si>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</si>
  <si>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</si>
  <si>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</si>
  <si>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</si>
  <si>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</si>
  <si>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</si>
  <si>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</si>
  <si>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</si>
  <si>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</si>
  <si>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</si>
  <si>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</si>
  <si>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</si>
  <si>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</si>
  <si>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</si>
  <si>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</si>
  <si>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</si>
  <si>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</si>
  <si>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</si>
  <si>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</si>
  <si>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</si>
  <si>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</si>
  <si>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</si>
  <si>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</si>
  <si>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</si>
  <si>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</si>
  <si>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</si>
  <si>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</si>
  <si>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</si>
  <si>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</si>
  <si>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</si>
  <si>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</si>
  <si>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</si>
  <si>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</si>
  <si>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</si>
  <si>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</si>
  <si>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</si>
  <si>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</si>
  <si>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</si>
  <si>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</si>
  <si>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</si>
  <si>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</si>
  <si>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</si>
  <si>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</si>
  <si>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</si>
  <si>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</si>
  <si>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</si>
  <si>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</si>
  <si>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</si>
  <si>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</si>
  <si>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</si>
  <si>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</si>
  <si>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</si>
  <si>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</si>
  <si>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</si>
  <si>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</si>
  <si>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</si>
  <si>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</si>
  <si>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</si>
  <si>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</si>
  <si>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</si>
  <si>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</si>
  <si>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</si>
  <si>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</si>
  <si>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</si>
  <si>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</si>
  <si>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</si>
  <si>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</si>
  <si>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</si>
  <si>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</si>
  <si>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</si>
  <si>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</si>
  <si>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</si>
  <si>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</si>
  <si>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</si>
  <si>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</si>
  <si>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</si>
  <si>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</si>
  <si>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</si>
  <si>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</si>
  <si>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</si>
  <si>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</si>
  <si>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</si>
  <si>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</si>
  <si>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</si>
  <si>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</si>
  <si>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</si>
  <si>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</si>
  <si>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</si>
  <si>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</si>
  <si>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</si>
  <si>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</si>
  <si>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</si>
  <si>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</si>
  <si>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</si>
  <si>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</si>
  <si>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</si>
  <si>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</si>
  <si>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</si>
  <si>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</si>
  <si>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</si>
  <si>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</si>
  <si>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</si>
  <si>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</si>
  <si>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</si>
  <si>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</si>
  <si>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</si>
  <si>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</si>
  <si>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</si>
  <si>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</si>
  <si>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</si>
  <si>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</si>
  <si>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</si>
  <si>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</si>
  <si>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</si>
  <si>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</si>
  <si>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</si>
  <si>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</si>
  <si>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</si>
  <si>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</si>
  <si>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</si>
  <si>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</si>
  <si>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</si>
  <si>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</si>
  <si>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</si>
  <si>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</si>
  <si>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</si>
  <si>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</si>
  <si>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</si>
  <si>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</si>
  <si>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</si>
  <si>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</si>
  <si>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</si>
  <si>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</si>
  <si>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</si>
  <si>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</si>
  <si>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</si>
  <si>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</si>
  <si>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</si>
  <si>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</si>
  <si>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</si>
  <si>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</si>
  <si>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</si>
  <si>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</si>
  <si>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</si>
  <si>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</si>
  <si>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</si>
  <si>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</si>
  <si>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</si>
  <si>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</si>
  <si>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</si>
  <si>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</si>
  <si>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</si>
  <si>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</si>
  <si>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</si>
  <si>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</si>
  <si>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</si>
  <si>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</si>
  <si>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</si>
  <si>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</si>
  <si>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</si>
  <si>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</si>
  <si>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</si>
  <si>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</si>
  <si>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</si>
  <si>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</si>
  <si>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</si>
  <si>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</si>
  <si>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</si>
  <si>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</si>
  <si>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</si>
  <si>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</si>
  <si>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</si>
  <si>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</si>
  <si>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</si>
  <si>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</si>
  <si>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</si>
  <si>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</si>
  <si>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</si>
  <si>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</si>
  <si>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</si>
  <si>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</si>
  <si>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</si>
  <si>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</si>
  <si>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</si>
  <si>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</si>
  <si>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</si>
  <si>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</si>
  <si>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</si>
  <si>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</si>
  <si>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</si>
  <si>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</si>
  <si>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</si>
  <si>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</si>
  <si>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</si>
  <si>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</si>
  <si>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</si>
  <si>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</si>
  <si>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</si>
  <si>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</si>
  <si>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</si>
  <si>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</si>
  <si>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</si>
  <si>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</si>
  <si>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</si>
  <si>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</si>
  <si>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</si>
  <si>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</si>
  <si>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</si>
  <si>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</si>
  <si>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</si>
  <si>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</si>
  <si>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</si>
  <si>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</si>
  <si>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</si>
  <si>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</si>
  <si>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</si>
  <si>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</si>
  <si>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</si>
  <si>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</si>
  <si>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</si>
  <si>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</si>
  <si>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</si>
  <si>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</si>
  <si>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</si>
  <si>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</si>
  <si>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</si>
  <si>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</si>
  <si>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</si>
  <si>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</si>
  <si>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</si>
  <si>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</si>
  <si>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</si>
  <si>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</si>
  <si>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</si>
  <si>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</si>
  <si>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</si>
  <si>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</si>
  <si>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</si>
  <si>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</si>
  <si>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</si>
  <si>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</si>
  <si>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</si>
  <si>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</si>
  <si>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</si>
  <si>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</si>
  <si>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</si>
  <si>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</si>
  <si>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</si>
  <si>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</si>
  <si>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</si>
  <si>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</si>
  <si>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</si>
  <si>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</si>
  <si>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</si>
  <si>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</si>
  <si>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</si>
  <si>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</si>
  <si>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</si>
  <si>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</si>
  <si>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</si>
  <si>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</si>
  <si>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</si>
  <si>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</si>
  <si>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</si>
  <si>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</si>
  <si>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</si>
  <si>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</si>
  <si>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</si>
  <si>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</si>
  <si>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</si>
  <si>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</si>
  <si>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</si>
  <si>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</si>
  <si>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</si>
  <si>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</si>
  <si>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</si>
  <si>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</si>
  <si>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</si>
  <si>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</si>
  <si>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</si>
  <si>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</si>
  <si>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</si>
  <si>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</si>
  <si>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</si>
  <si>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</si>
  <si>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</si>
  <si>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</si>
  <si>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</si>
  <si>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</si>
  <si>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</si>
  <si>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</si>
  <si>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</si>
  <si>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</si>
  <si>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</si>
  <si>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</si>
  <si>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</si>
  <si>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</si>
  <si>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</si>
  <si>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</si>
  <si>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</si>
  <si>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</si>
  <si>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</si>
  <si>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</si>
  <si>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</si>
  <si>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</si>
  <si>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</si>
  <si>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</si>
  <si>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</si>
  <si>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</si>
  <si>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</si>
  <si>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</si>
  <si>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</si>
  <si>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</si>
  <si>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</si>
  <si>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</si>
  <si>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</si>
  <si>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</si>
  <si>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</si>
  <si>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</si>
  <si>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</si>
  <si>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</si>
  <si>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</si>
  <si>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</si>
  <si>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</si>
  <si>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</si>
  <si>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</si>
  <si>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</si>
  <si>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</si>
  <si>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</si>
  <si>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</si>
  <si>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</si>
  <si>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</si>
  <si>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</si>
  <si>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</si>
  <si>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</si>
  <si>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</si>
  <si>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</si>
  <si>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</si>
  <si>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</si>
  <si>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</si>
  <si>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</si>
  <si>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</si>
  <si>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</si>
  <si>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</si>
  <si>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</si>
  <si>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</si>
  <si>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</si>
  <si>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</si>
  <si>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</si>
  <si>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</si>
  <si>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</si>
  <si>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</si>
  <si>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</si>
  <si>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</si>
  <si>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</si>
  <si>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</si>
  <si>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</si>
  <si>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</si>
  <si>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</si>
  <si>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</si>
  <si>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</si>
  <si>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</si>
  <si>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</si>
  <si>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</si>
  <si>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</si>
  <si>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</si>
  <si>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</si>
  <si>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</si>
  <si>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</si>
  <si>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</si>
  <si>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</si>
  <si>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</si>
  <si>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</si>
  <si>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</si>
  <si>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</si>
  <si>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</si>
  <si>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</si>
  <si>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</si>
  <si>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</si>
  <si>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</si>
  <si>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</si>
  <si>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</si>
  <si>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</si>
  <si>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</si>
  <si>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</si>
  <si>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</si>
  <si>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</si>
  <si>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</si>
  <si>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</si>
  <si>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</si>
  <si>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</si>
  <si>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</si>
  <si>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</si>
  <si>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</si>
  <si>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</si>
  <si>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</si>
  <si>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</si>
  <si>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</si>
  <si>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</si>
  <si>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</si>
  <si>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</si>
  <si>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</si>
  <si>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</si>
  <si>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</si>
  <si>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</si>
  <si>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</si>
  <si>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</si>
  <si>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</si>
  <si>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</si>
  <si>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</si>
  <si>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</si>
  <si>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</si>
  <si>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</si>
  <si>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</si>
  <si>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</si>
  <si>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</si>
  <si>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</si>
  <si>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</si>
  <si>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</si>
  <si>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</si>
  <si>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</si>
  <si>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</si>
  <si>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</si>
  <si>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</si>
  <si>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</si>
  <si>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</si>
  <si>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</si>
  <si>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</si>
  <si>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</si>
  <si>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</si>
  <si>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</si>
  <si>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</si>
  <si>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</si>
  <si>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</si>
  <si>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</si>
  <si>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</si>
  <si>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</si>
  <si>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</si>
  <si>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</si>
  <si>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</si>
  <si>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</si>
  <si>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</si>
  <si>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</si>
  <si>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</si>
  <si>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</si>
  <si>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</si>
  <si>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</si>
  <si>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</si>
  <si>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</si>
  <si>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</si>
  <si>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</si>
  <si>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</si>
  <si>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</si>
  <si>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</si>
  <si>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</si>
  <si>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</si>
  <si>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</si>
  <si>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</si>
  <si>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</si>
  <si>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</si>
  <si>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</si>
  <si>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</si>
  <si>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</si>
  <si>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</si>
  <si>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</si>
  <si>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</si>
  <si>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</si>
  <si>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</si>
  <si>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</si>
  <si>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</si>
  <si>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</si>
  <si>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</si>
  <si>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</si>
  <si>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</si>
  <si>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</si>
  <si>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</si>
  <si>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</si>
  <si>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</si>
  <si>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</si>
  <si>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</si>
  <si>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</si>
  <si>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</si>
  <si>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</si>
  <si>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</si>
  <si>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</si>
  <si>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</si>
  <si>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</si>
  <si>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</si>
  <si>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</si>
  <si>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</si>
  <si>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</si>
  <si>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</si>
  <si>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</si>
  <si>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</si>
  <si>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</si>
  <si>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</si>
  <si>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</si>
  <si>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</si>
  <si>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</si>
  <si>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</si>
  <si>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</si>
  <si>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</si>
  <si>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</si>
  <si>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</si>
  <si>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</si>
  <si>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</si>
  <si>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</si>
  <si>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</si>
  <si>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</si>
  <si>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</si>
  <si>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</si>
  <si>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</si>
  <si>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</si>
  <si>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</si>
  <si>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</si>
  <si>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</si>
  <si>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</si>
  <si>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</si>
  <si>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</si>
  <si>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</si>
  <si>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</si>
  <si>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</si>
  <si>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</si>
  <si>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</si>
  <si>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</si>
  <si>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</si>
  <si>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</si>
  <si>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</si>
  <si>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</si>
  <si>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</si>
  <si>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</si>
  <si>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</si>
  <si>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</si>
  <si>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</si>
  <si>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</si>
  <si>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</si>
  <si>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</si>
  <si>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</si>
  <si>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</si>
  <si>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</si>
  <si>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</si>
  <si>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</si>
  <si>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</si>
  <si>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</si>
  <si>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</si>
  <si>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</si>
  <si>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</si>
  <si>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</si>
  <si>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</si>
  <si>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</si>
  <si>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</si>
  <si>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</si>
  <si>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</si>
  <si>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</si>
  <si>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</si>
  <si>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</si>
  <si>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</si>
  <si>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</si>
  <si>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</si>
  <si>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</si>
  <si>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</si>
  <si>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</si>
  <si>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</si>
  <si>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</si>
  <si>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</si>
  <si>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</si>
  <si>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</si>
  <si>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</si>
  <si>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</si>
  <si>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</si>
  <si>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</si>
  <si>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</si>
  <si>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</si>
  <si>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</si>
  <si>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</si>
  <si>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</si>
  <si>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</si>
  <si>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</si>
  <si>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</si>
  <si>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</si>
  <si>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</si>
  <si>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</si>
  <si>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</si>
  <si>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</si>
  <si>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</si>
  <si>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</si>
  <si>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</si>
  <si>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</si>
  <si>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</si>
  <si>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</si>
  <si>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</si>
  <si>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</si>
  <si>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</si>
  <si>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</si>
  <si>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</si>
  <si>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</si>
  <si>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</si>
  <si>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</si>
  <si>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</si>
  <si>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</si>
  <si>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</si>
  <si>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</si>
  <si>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</si>
  <si>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</si>
  <si>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</si>
  <si>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</si>
  <si>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</si>
  <si>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</si>
  <si>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</si>
  <si>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</si>
  <si>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</si>
  <si>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</si>
  <si>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</si>
  <si>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</si>
  <si>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</si>
  <si>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</si>
  <si>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</si>
  <si>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</si>
  <si>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</si>
  <si>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</si>
  <si>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</si>
  <si>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</si>
  <si>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</si>
  <si>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</si>
  <si>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</si>
  <si>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</si>
  <si>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</si>
  <si>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</si>
  <si>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</si>
  <si>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</si>
  <si>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</si>
  <si>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</si>
  <si>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</si>
  <si>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</si>
  <si>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</si>
  <si>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</si>
  <si>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</si>
  <si>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</si>
  <si>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</si>
  <si>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</si>
  <si>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</si>
  <si>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</si>
  <si>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</si>
  <si>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</si>
  <si>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</si>
  <si>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</si>
  <si>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</si>
  <si>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</si>
  <si>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</si>
  <si>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</si>
  <si>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</si>
  <si>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</si>
  <si>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</si>
  <si>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</si>
  <si>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</si>
  <si>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</si>
  <si>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</si>
  <si>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</si>
  <si>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</si>
  <si>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</si>
  <si>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</si>
  <si>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</si>
  <si>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</si>
  <si>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</si>
  <si>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</si>
  <si>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</si>
  <si>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</si>
  <si>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</si>
  <si>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</si>
  <si>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</si>
  <si>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</si>
  <si>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</si>
  <si>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</si>
  <si>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</si>
  <si>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</si>
  <si>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</si>
  <si>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</si>
  <si>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</si>
  <si>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</si>
  <si>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</si>
  <si>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</si>
  <si>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</si>
  <si>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</si>
  <si>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</si>
  <si>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</si>
  <si>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</si>
  <si>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</si>
  <si>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</si>
  <si>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</si>
  <si>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</si>
  <si>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</si>
  <si>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</si>
  <si>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</si>
  <si>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</si>
  <si>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</si>
  <si>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</si>
  <si>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</si>
  <si>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</si>
  <si>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</si>
  <si>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</si>
  <si>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</si>
  <si>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</si>
  <si>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</si>
  <si>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</si>
  <si>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</si>
  <si>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</si>
  <si>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</si>
  <si>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</si>
  <si>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</si>
  <si>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</si>
  <si>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</si>
  <si>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</si>
  <si>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</si>
  <si>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</si>
  <si>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</si>
  <si>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</si>
  <si>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</si>
  <si>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</si>
  <si>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</si>
  <si>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</si>
  <si>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</si>
  <si>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</si>
  <si>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</si>
  <si>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</si>
  <si>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</si>
  <si>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</si>
  <si>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</si>
  <si>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</si>
  <si>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</si>
  <si>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</si>
  <si>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</si>
  <si>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</si>
  <si>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</si>
  <si>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</si>
  <si>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</si>
  <si>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</si>
  <si>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</si>
  <si>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</si>
  <si>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</si>
  <si>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</si>
  <si>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</si>
  <si>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</si>
  <si>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</si>
  <si>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</si>
  <si>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</si>
  <si>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</si>
  <si>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</si>
  <si>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</si>
  <si>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</si>
  <si>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</si>
  <si>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</si>
  <si>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</si>
  <si>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</si>
  <si>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</si>
  <si>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</si>
  <si>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</si>
  <si>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</si>
  <si>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</si>
  <si>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</si>
  <si>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</si>
  <si>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</si>
  <si>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</si>
  <si>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</si>
  <si>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</si>
  <si>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</si>
  <si>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</si>
  <si>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</si>
  <si>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</si>
  <si>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</si>
  <si>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</si>
  <si>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</si>
  <si>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</si>
  <si>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</si>
  <si>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</si>
  <si>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</si>
  <si>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</si>
  <si>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</si>
  <si>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</si>
  <si>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</si>
  <si>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</si>
  <si>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</si>
  <si>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</si>
  <si>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</si>
  <si>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</si>
  <si>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</si>
  <si>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</si>
  <si>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</si>
  <si>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</si>
  <si>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</si>
  <si>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</si>
  <si>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</si>
  <si>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</si>
  <si>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</si>
  <si>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</si>
  <si>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</si>
  <si>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</si>
  <si>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</si>
  <si>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</si>
  <si>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</si>
  <si>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</si>
  <si>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</si>
  <si>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</si>
  <si>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</si>
  <si>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</si>
  <si>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</si>
  <si>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</si>
  <si>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</si>
  <si>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</si>
  <si>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</si>
  <si>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</si>
  <si>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</si>
  <si>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</si>
  <si>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</si>
  <si>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</si>
  <si>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</si>
  <si>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</si>
  <si>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</si>
  <si>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</si>
  <si>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</si>
  <si>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</si>
  <si>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</si>
  <si>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</si>
  <si>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</si>
  <si>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</si>
  <si>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</si>
  <si>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</si>
  <si>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</si>
  <si>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</si>
  <si>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</si>
  <si>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</si>
  <si>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</si>
  <si>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</si>
  <si>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</si>
  <si>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</si>
  <si>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</si>
  <si>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</si>
  <si>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</si>
  <si>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</si>
  <si>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</si>
  <si>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</si>
  <si>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</si>
  <si>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</si>
  <si>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</si>
  <si>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</si>
  <si>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</si>
  <si>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</si>
  <si>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</si>
  <si>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</si>
  <si>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</si>
  <si>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</si>
  <si>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</si>
  <si>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</si>
  <si>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</si>
  <si>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</si>
  <si>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</si>
  <si>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</si>
  <si>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</si>
  <si>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</si>
  <si>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</si>
  <si>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</si>
  <si>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</si>
  <si>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</si>
  <si>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</si>
  <si>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</si>
  <si>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</si>
  <si>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</si>
  <si>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</si>
  <si>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</si>
  <si>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</si>
  <si>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</si>
  <si>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</si>
  <si>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</si>
  <si>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</si>
  <si>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</si>
  <si>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</si>
  <si>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</si>
  <si>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</si>
  <si>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</si>
  <si>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</si>
  <si>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</si>
  <si>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</si>
  <si>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</si>
  <si>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</si>
  <si>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</si>
  <si>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</si>
  <si>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</si>
  <si>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</si>
  <si>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</si>
  <si>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</si>
  <si>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</si>
  <si>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</si>
  <si>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</si>
  <si>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</si>
  <si>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</si>
  <si>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</si>
  <si>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</si>
  <si>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</si>
  <si>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</si>
  <si>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</si>
  <si>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</si>
  <si>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</si>
  <si>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</si>
  <si>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</si>
  <si>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</si>
  <si>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</si>
  <si>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</si>
  <si>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</si>
  <si>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</si>
  <si>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</si>
  <si>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</si>
  <si>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</si>
  <si>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</si>
  <si>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</si>
  <si>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</si>
  <si>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</si>
  <si>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</si>
  <si>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</si>
  <si>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</si>
  <si>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</si>
  <si>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</si>
  <si>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</si>
  <si>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</si>
  <si>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</si>
  <si>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</si>
  <si>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</si>
  <si>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</si>
  <si>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</si>
  <si>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</si>
  <si>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</si>
  <si>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</si>
  <si>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</si>
  <si>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</si>
  <si>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</si>
  <si>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</si>
  <si>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</si>
  <si>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</si>
  <si>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</si>
  <si>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</si>
  <si>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</si>
  <si>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</si>
  <si>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</si>
  <si>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</si>
  <si>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</si>
  <si>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</si>
  <si>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</si>
  <si>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</si>
  <si>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</si>
  <si>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</si>
  <si>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</si>
  <si>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</si>
  <si>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</si>
  <si>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</si>
  <si>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</si>
  <si>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</si>
  <si>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</si>
  <si>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</si>
  <si>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</si>
  <si>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</si>
  <si>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</si>
  <si>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</si>
  <si>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</si>
  <si>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</si>
  <si>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</si>
  <si>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</si>
  <si>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</si>
  <si>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</si>
  <si>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</si>
  <si>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</si>
  <si>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</si>
  <si>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</si>
  <si>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</si>
  <si>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</si>
  <si>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</si>
  <si>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</si>
  <si>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</si>
  <si>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</si>
  <si>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</si>
  <si>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</si>
  <si>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</si>
  <si>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</si>
  <si>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</si>
  <si>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</si>
  <si>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</si>
  <si>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</si>
  <si>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</si>
  <si>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</si>
  <si>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</si>
  <si>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</si>
  <si>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</si>
  <si>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</si>
  <si>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</si>
  <si>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</si>
  <si>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</si>
  <si>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</si>
  <si>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</si>
  <si>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</si>
  <si>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</si>
  <si>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</si>
  <si>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</si>
  <si>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</si>
  <si>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</si>
  <si>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</si>
  <si>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</si>
  <si>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</si>
  <si>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</si>
  <si>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</si>
  <si>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</si>
  <si>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</si>
  <si>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</si>
  <si>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</si>
  <si>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</si>
  <si>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</si>
  <si>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</si>
  <si>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</si>
  <si>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</si>
  <si>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</si>
  <si>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</si>
  <si>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</si>
  <si>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</si>
  <si>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</si>
  <si>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</si>
  <si>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</si>
  <si>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</si>
  <si>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</si>
  <si>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</si>
  <si>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</si>
  <si>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</si>
  <si>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</si>
  <si>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</si>
  <si>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</si>
  <si>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</si>
  <si>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</si>
  <si>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</si>
  <si>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</si>
  <si>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</si>
  <si>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</si>
  <si>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</si>
  <si>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</si>
  <si>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</si>
  <si>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</si>
  <si>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</si>
  <si>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</si>
  <si>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</si>
  <si>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</si>
  <si>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</si>
  <si>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</si>
  <si>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</si>
  <si>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</si>
  <si>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</si>
  <si>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</si>
  <si>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</si>
  <si>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</si>
  <si>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</si>
  <si>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</si>
  <si>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</si>
  <si>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</si>
  <si>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</si>
  <si>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</si>
  <si>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</si>
  <si>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</si>
  <si>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</si>
  <si>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</si>
  <si>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</si>
  <si>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</si>
  <si>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</si>
  <si>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</si>
  <si>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</si>
  <si>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</si>
  <si>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</si>
  <si>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</si>
  <si>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</si>
  <si>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</si>
  <si>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</si>
  <si>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</si>
  <si>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</si>
  <si>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</si>
  <si>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</si>
  <si>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</si>
  <si>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</si>
  <si>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</si>
  <si>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</si>
  <si>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</si>
  <si>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</si>
  <si>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</si>
  <si>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</si>
  <si>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</si>
  <si>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</si>
  <si>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</si>
  <si>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</si>
  <si>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</si>
  <si>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</si>
  <si>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</si>
  <si>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</si>
  <si>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</si>
  <si>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</si>
  <si>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</si>
  <si>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</si>
  <si>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</si>
  <si>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</si>
  <si>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</si>
  <si>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</si>
  <si>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</si>
  <si>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</si>
  <si>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</si>
  <si>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</si>
  <si>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</si>
  <si>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</si>
  <si>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</si>
  <si>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</si>
  <si>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</si>
  <si>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</si>
  <si>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</si>
  <si>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</si>
  <si>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</si>
  <si>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</si>
  <si>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</si>
  <si>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</si>
  <si>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</si>
  <si>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</si>
  <si>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</si>
  <si>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</si>
  <si>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</si>
  <si>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</si>
  <si>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</si>
  <si>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</si>
  <si>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</si>
  <si>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</si>
  <si>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</si>
  <si>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</si>
  <si>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</si>
  <si>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</si>
  <si>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</si>
  <si>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</si>
  <si>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</si>
  <si>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</si>
  <si>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</si>
  <si>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</si>
  <si>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</si>
  <si>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</si>
  <si>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</si>
  <si>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</si>
  <si>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</si>
  <si>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</si>
  <si>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</si>
  <si>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</si>
  <si>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</si>
  <si>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</si>
  <si>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</si>
  <si>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</si>
  <si>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</si>
  <si>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</si>
  <si>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</si>
  <si>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</si>
  <si>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</si>
  <si>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</si>
  <si>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</si>
  <si>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</si>
  <si>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</si>
  <si>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</si>
  <si>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</si>
  <si>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</si>
  <si>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</si>
  <si>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</si>
  <si>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</si>
  <si>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</si>
  <si>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</si>
  <si>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</si>
  <si>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</si>
  <si>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</si>
  <si>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</si>
  <si>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</si>
  <si>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</si>
  <si>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</si>
  <si>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</si>
  <si>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</si>
  <si>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</si>
  <si>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</si>
  <si>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</si>
  <si>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</si>
  <si>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</si>
  <si>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</si>
  <si>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</si>
  <si>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</si>
  <si>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</si>
  <si>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</si>
  <si>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</si>
  <si>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</si>
  <si>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</si>
  <si>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</si>
  <si>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</si>
  <si>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</si>
  <si>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</si>
  <si>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</si>
  <si>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</si>
  <si>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</si>
  <si>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</si>
  <si>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</si>
  <si>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</si>
  <si>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</si>
  <si>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</si>
  <si>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</si>
  <si>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</si>
  <si>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</si>
  <si>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</si>
  <si>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</si>
  <si>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</si>
  <si>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</si>
  <si>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</si>
  <si>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</si>
  <si>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</si>
  <si>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</si>
  <si>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</si>
  <si>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</si>
  <si>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</si>
  <si>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</si>
  <si>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</si>
  <si>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</si>
  <si>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</si>
  <si>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</si>
  <si>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</si>
  <si>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</si>
  <si>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</si>
  <si>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</si>
  <si>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</si>
  <si>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</si>
  <si>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</si>
  <si>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</si>
  <si>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</si>
  <si>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</si>
  <si>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</si>
  <si>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</si>
  <si>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</si>
  <si>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</si>
  <si>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</si>
  <si>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</si>
  <si>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</si>
  <si>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</si>
  <si>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</si>
  <si>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</si>
  <si>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</si>
  <si>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</si>
  <si>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</si>
  <si>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</si>
  <si>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</si>
  <si>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</si>
  <si>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</si>
  <si>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</si>
  <si>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</si>
  <si>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</si>
  <si>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</si>
  <si>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</si>
  <si>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</si>
  <si>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</si>
  <si>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</si>
  <si>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</si>
  <si>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</si>
  <si>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</si>
  <si>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</si>
  <si>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</si>
  <si>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</si>
  <si>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</si>
  <si>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</si>
  <si>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</si>
  <si>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</si>
  <si>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</si>
  <si>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</si>
  <si>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</si>
  <si>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</si>
  <si>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</si>
  <si>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</si>
  <si>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</si>
  <si>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</si>
  <si>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</si>
  <si>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</si>
  <si>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</si>
  <si>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</si>
  <si>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</si>
  <si>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</si>
  <si>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</si>
  <si>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</si>
  <si>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</si>
  <si>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</si>
  <si>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</si>
  <si>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</si>
  <si>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</si>
  <si>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</si>
  <si>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</si>
  <si>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</si>
  <si>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</si>
  <si>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</si>
  <si>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</si>
  <si>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</si>
  <si>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</si>
  <si>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</si>
  <si>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</si>
  <si>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</si>
  <si>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</si>
  <si>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</si>
  <si>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</si>
  <si>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</si>
  <si>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</si>
  <si>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</si>
  <si>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</si>
  <si>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</si>
  <si>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</si>
  <si>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</si>
  <si>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</si>
  <si>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</si>
  <si>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</si>
  <si>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</si>
  <si>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</si>
  <si>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</si>
  <si>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</si>
  <si>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</si>
  <si>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</si>
  <si>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</si>
  <si>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</si>
  <si>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</si>
  <si>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</si>
  <si>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</si>
  <si>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</si>
  <si>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</si>
  <si>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</si>
  <si>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</si>
  <si>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</si>
  <si>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</si>
  <si>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</si>
  <si>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</si>
  <si>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</si>
  <si>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</si>
  <si>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</si>
  <si>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</si>
  <si>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</si>
  <si>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</si>
  <si>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</si>
  <si>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</si>
  <si>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</si>
  <si>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</si>
  <si>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</si>
  <si>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</si>
  <si>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</si>
  <si>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</si>
  <si>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</si>
  <si>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</si>
  <si>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</si>
  <si>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</si>
  <si>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</si>
  <si>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</si>
  <si>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</si>
  <si>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</si>
  <si>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</si>
  <si>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</si>
  <si>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</si>
  <si>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</si>
  <si>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</si>
  <si>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</si>
  <si>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</si>
  <si>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</si>
  <si>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</si>
  <si>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</si>
  <si>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</si>
  <si>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</si>
  <si>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</si>
  <si>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</si>
  <si>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</si>
  <si>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</si>
  <si>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</si>
  <si>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</si>
  <si>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</si>
  <si>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</si>
  <si>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</si>
  <si>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</si>
  <si>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</si>
  <si>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</si>
  <si>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</si>
  <si>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</si>
  <si>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</si>
  <si>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</si>
  <si>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</si>
  <si>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</si>
  <si>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</si>
  <si>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</si>
  <si>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</si>
  <si>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</si>
  <si>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</si>
  <si>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</si>
  <si>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</si>
  <si>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</si>
  <si>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</si>
  <si>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</si>
  <si>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</si>
  <si>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</si>
  <si>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</si>
  <si>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</si>
  <si>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</si>
  <si>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</si>
  <si>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</si>
  <si>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</si>
  <si>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</si>
  <si>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</si>
  <si>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</si>
  <si>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</si>
  <si>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</si>
  <si>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</si>
  <si>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</si>
  <si>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</si>
  <si>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</si>
  <si>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</si>
  <si>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</si>
  <si>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</si>
  <si>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</si>
  <si>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</si>
  <si>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</si>
  <si>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</si>
  <si>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</si>
  <si>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</si>
  <si>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</si>
  <si>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</si>
  <si>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</si>
  <si>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</si>
  <si>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</si>
  <si>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</si>
  <si>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</si>
  <si>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</si>
  <si>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</si>
  <si>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</si>
  <si>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</si>
  <si>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</si>
  <si>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</si>
  <si>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</si>
  <si>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</si>
  <si>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</si>
  <si>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</si>
  <si>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</si>
  <si>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</si>
  <si>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</si>
  <si>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</si>
  <si>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</si>
  <si>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</si>
  <si>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</si>
  <si>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</si>
  <si>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</si>
  <si>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</si>
  <si>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</si>
  <si>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</si>
  <si>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</si>
  <si>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</si>
  <si>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</si>
  <si>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</si>
  <si>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</si>
  <si>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</si>
  <si>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</si>
  <si>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</si>
  <si>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</si>
  <si>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</si>
  <si>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</si>
  <si>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</si>
  <si>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</si>
  <si>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</si>
  <si>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</si>
  <si>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</si>
  <si>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</si>
  <si>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</si>
  <si>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</si>
  <si>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</si>
  <si>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</si>
  <si>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</si>
  <si>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</si>
  <si>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</si>
  <si>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</si>
  <si>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</si>
  <si>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</si>
  <si>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</si>
  <si>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</si>
  <si>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</si>
  <si>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</si>
  <si>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</si>
  <si>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</si>
  <si>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</si>
  <si>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</si>
  <si>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</si>
  <si>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</si>
  <si>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</si>
  <si>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</si>
  <si>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</si>
  <si>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</si>
  <si>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</si>
  <si>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</si>
  <si>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</si>
  <si>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</si>
  <si>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</si>
  <si>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</si>
  <si>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</si>
  <si>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</si>
  <si>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</si>
  <si>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</si>
  <si>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</si>
  <si>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</si>
  <si>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</si>
  <si>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</si>
  <si>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</si>
  <si>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</si>
  <si>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</si>
  <si>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</si>
  <si>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</si>
  <si>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</si>
  <si>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</si>
  <si>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</si>
  <si>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</si>
  <si>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</si>
  <si>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</si>
  <si>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</si>
  <si>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</si>
  <si>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</si>
  <si>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</si>
  <si>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</si>
  <si>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</si>
  <si>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</si>
  <si>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</si>
  <si>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</si>
  <si>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</si>
  <si>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</si>
  <si>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</si>
  <si>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</si>
  <si>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</si>
  <si>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</si>
  <si>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</si>
  <si>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</si>
  <si>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</si>
  <si>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</si>
  <si>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</si>
  <si>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</si>
  <si>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</si>
  <si>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</si>
  <si>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</si>
  <si>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</si>
  <si>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</si>
  <si>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</si>
  <si>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</si>
  <si>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</si>
  <si>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</si>
  <si>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</si>
  <si>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</si>
  <si>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</si>
  <si>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</si>
  <si>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</si>
  <si>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</si>
  <si>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</si>
  <si>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</si>
  <si>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</si>
  <si>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</si>
  <si>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</si>
  <si>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</si>
  <si>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</si>
  <si>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</si>
  <si>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</si>
  <si>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</si>
  <si>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</si>
  <si>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</si>
  <si>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</si>
  <si>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</si>
  <si>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</si>
  <si>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</si>
  <si>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</si>
  <si>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</si>
  <si>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</si>
  <si>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</si>
  <si>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</si>
  <si>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</si>
  <si>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</si>
  <si>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</si>
  <si>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</si>
  <si>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</si>
  <si>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</si>
  <si>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</si>
  <si>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</si>
  <si>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</si>
  <si>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</si>
  <si>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</si>
  <si>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</si>
  <si>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</si>
  <si>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</si>
  <si>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</si>
  <si>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</si>
  <si>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</si>
  <si>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</si>
  <si>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</si>
  <si>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</si>
  <si>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</si>
  <si>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</si>
  <si>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</si>
  <si>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</si>
  <si>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</si>
  <si>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</si>
  <si>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</si>
  <si>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</si>
  <si>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</si>
  <si>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</si>
  <si>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</si>
  <si>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</si>
  <si>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</si>
  <si>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</si>
  <si>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</si>
  <si>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</si>
  <si>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</si>
  <si>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</si>
  <si>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</si>
  <si>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</si>
  <si>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</si>
  <si>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</si>
  <si>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</si>
  <si>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</si>
  <si>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</si>
  <si>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</si>
  <si>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</si>
  <si>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</si>
  <si>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</si>
  <si>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</si>
  <si>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</si>
  <si>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</si>
  <si>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</si>
  <si>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</si>
  <si>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</si>
  <si>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</si>
  <si>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</si>
  <si>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</si>
  <si>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</si>
  <si>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</si>
  <si>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</si>
  <si>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</si>
  <si>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</si>
  <si>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</si>
  <si>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</si>
  <si>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</si>
  <si>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</si>
  <si>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</si>
  <si>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</si>
  <si>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</si>
  <si>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</si>
  <si>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</si>
  <si>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</si>
  <si>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</si>
  <si>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</si>
  <si>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</si>
  <si>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</si>
  <si>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</si>
  <si>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</si>
  <si>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</si>
  <si>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</si>
  <si>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</si>
  <si>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</si>
  <si>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</si>
  <si>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</si>
  <si>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</si>
  <si>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</si>
  <si>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</si>
  <si>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</si>
  <si>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</si>
  <si>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</si>
  <si>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</si>
  <si>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</si>
  <si>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</si>
  <si>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</si>
  <si>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</si>
  <si>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</si>
  <si>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</si>
  <si>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</si>
  <si>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</si>
  <si>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</si>
  <si>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</si>
  <si>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</si>
  <si>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</si>
  <si>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</si>
  <si>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</si>
  <si>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</si>
  <si>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</si>
  <si>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</si>
  <si>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</si>
  <si>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</si>
  <si>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</si>
  <si>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</si>
  <si>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</si>
  <si>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</si>
  <si>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</si>
  <si>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</si>
  <si>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</si>
  <si>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</si>
  <si>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</si>
  <si>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</si>
  <si>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</si>
  <si>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</si>
  <si>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</si>
  <si>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</si>
  <si>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</si>
  <si>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</si>
  <si>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</si>
  <si>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</si>
  <si>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</si>
  <si>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</si>
  <si>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</si>
  <si>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</si>
  <si>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</si>
  <si>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</si>
  <si>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</si>
  <si>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</si>
  <si>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</si>
  <si>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</si>
  <si>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</si>
  <si>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</si>
  <si>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</si>
  <si>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</si>
  <si>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</si>
  <si>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</si>
  <si>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</si>
  <si>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</si>
  <si>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</si>
  <si>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</si>
  <si>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</si>
  <si>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</si>
  <si>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</si>
  <si>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</si>
  <si>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</si>
  <si>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</si>
  <si>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</si>
  <si>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</si>
  <si>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</si>
  <si>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</si>
  <si>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</si>
  <si>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</si>
  <si>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</si>
  <si>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</si>
  <si>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</si>
  <si>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</si>
  <si>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</si>
  <si>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</si>
  <si>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</si>
  <si>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</si>
  <si>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</si>
  <si>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</si>
  <si>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</si>
  <si>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</si>
  <si>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</si>
  <si>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</si>
  <si>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</si>
  <si>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</si>
  <si>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</si>
  <si>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</si>
  <si>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</si>
  <si>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</si>
  <si>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</si>
  <si>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</si>
  <si>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</si>
  <si>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</si>
  <si>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</si>
  <si>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</si>
  <si>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</si>
  <si>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</si>
  <si>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</si>
  <si>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</si>
  <si>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</si>
  <si>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</si>
  <si>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</si>
  <si>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</si>
  <si>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</si>
  <si>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</si>
  <si>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</si>
  <si>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</si>
  <si>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</si>
  <si>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</si>
  <si>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</si>
  <si>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</si>
  <si>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</si>
  <si>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</si>
  <si>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</si>
  <si>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</si>
  <si>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</si>
  <si>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</si>
  <si>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</si>
  <si>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</si>
  <si>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</si>
  <si>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</si>
  <si>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</si>
  <si>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</si>
  <si>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</si>
  <si>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</si>
  <si>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</si>
  <si>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</si>
  <si>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</si>
  <si>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</si>
  <si>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</si>
  <si>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</si>
  <si>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</si>
  <si>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</si>
  <si>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</si>
  <si>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</si>
  <si>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</si>
  <si>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</si>
  <si>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</si>
  <si>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</si>
  <si>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</si>
  <si>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</si>
  <si>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</si>
  <si>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</si>
  <si>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</si>
  <si>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</si>
  <si>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</si>
  <si>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</si>
  <si>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</si>
  <si>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</si>
  <si>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</si>
  <si>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</si>
  <si>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</si>
  <si>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</si>
  <si>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</si>
  <si>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</si>
  <si>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</si>
  <si>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</si>
  <si>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</si>
  <si>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</si>
  <si>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</si>
  <si>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</si>
  <si>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</si>
  <si>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</si>
  <si>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</si>
  <si>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</si>
  <si>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</si>
  <si>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</si>
  <si>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</si>
  <si>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</si>
  <si>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</si>
  <si>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</si>
  <si>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</si>
  <si>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</si>
  <si>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</si>
  <si>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</si>
  <si>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</si>
  <si>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</si>
  <si>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</si>
  <si>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</si>
  <si>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</si>
  <si>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</si>
  <si>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</si>
  <si>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</si>
  <si>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</si>
  <si>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</si>
  <si>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</si>
  <si>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</si>
  <si>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</si>
  <si>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</si>
  <si>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</si>
  <si>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</si>
  <si>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</si>
  <si>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</si>
  <si>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</si>
  <si>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</si>
  <si>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</si>
  <si>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</si>
  <si>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</si>
  <si>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</si>
  <si>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</si>
  <si>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</si>
  <si>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</si>
  <si>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</si>
  <si>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</si>
  <si>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</si>
  <si>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</si>
  <si>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</si>
  <si>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</si>
  <si>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</si>
  <si>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</si>
  <si>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</si>
  <si>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</si>
  <si>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</si>
  <si>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</si>
  <si>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</si>
  <si>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</si>
  <si>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</si>
  <si>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</si>
  <si>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</si>
  <si>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</si>
  <si>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</si>
  <si>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</si>
  <si>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</si>
  <si>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</si>
  <si>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</si>
  <si>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</si>
  <si>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</si>
  <si>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</si>
  <si>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</si>
  <si>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</si>
  <si>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</si>
  <si>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</si>
  <si>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</si>
  <si>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</si>
  <si>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</si>
  <si>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</si>
  <si>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</si>
  <si>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</si>
  <si>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</si>
  <si>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</si>
  <si>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</si>
  <si>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</si>
  <si>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</si>
  <si>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</si>
  <si>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</si>
  <si>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</si>
  <si>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</si>
  <si>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</si>
  <si>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</si>
  <si>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</si>
  <si>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</si>
  <si>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</si>
  <si>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</si>
  <si>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</si>
  <si>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</si>
  <si>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</si>
  <si>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</si>
  <si>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</si>
  <si>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</si>
  <si>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</si>
  <si>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</si>
  <si>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</si>
  <si>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</si>
  <si>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</si>
  <si>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</si>
  <si>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</si>
  <si>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</si>
  <si>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</si>
  <si>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</si>
  <si>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</si>
  <si>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</si>
  <si>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</si>
  <si>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</si>
  <si>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</si>
  <si>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</si>
  <si>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</si>
  <si>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</si>
  <si>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</si>
  <si>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</si>
  <si>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</si>
  <si>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</si>
  <si>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</si>
  <si>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</si>
  <si>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</si>
  <si>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</si>
  <si>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</si>
  <si>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</si>
  <si>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</si>
  <si>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</si>
  <si>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</si>
  <si>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</si>
  <si>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</si>
  <si>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</si>
  <si>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</si>
  <si>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</si>
  <si>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</si>
  <si>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</si>
  <si>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</si>
  <si>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</si>
  <si>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</si>
  <si>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</si>
  <si>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</si>
  <si>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</si>
  <si>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</si>
  <si>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</si>
  <si>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</si>
  <si>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</si>
  <si>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</si>
  <si>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</si>
  <si>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</si>
  <si>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</si>
  <si>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</si>
  <si>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</si>
  <si>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</si>
  <si>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</si>
  <si>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</si>
  <si>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</si>
  <si>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</si>
  <si>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</si>
  <si>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</si>
  <si>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</si>
  <si>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</si>
  <si>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</si>
  <si>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</si>
  <si>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</si>
  <si>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</si>
  <si>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</si>
  <si>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</si>
  <si>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</si>
  <si>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</si>
  <si>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</si>
  <si>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</si>
  <si>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</si>
  <si>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</si>
  <si>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</si>
  <si>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</si>
  <si>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</si>
  <si>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</si>
  <si>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</si>
  <si>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</si>
  <si>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</si>
  <si>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</si>
  <si>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</si>
  <si>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</si>
  <si>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</si>
  <si>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</si>
  <si>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</si>
  <si>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</si>
  <si>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</si>
  <si>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</si>
  <si>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</si>
  <si>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</si>
  <si>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</si>
  <si>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</si>
  <si>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</si>
  <si>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</si>
  <si>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</si>
  <si>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</si>
  <si>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</si>
  <si>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</si>
  <si>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</si>
  <si>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</si>
  <si>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</si>
  <si>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</si>
  <si>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</si>
  <si>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</si>
  <si>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</si>
  <si>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</si>
  <si>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</si>
  <si>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</si>
  <si>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</si>
  <si>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</si>
  <si>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</si>
  <si>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</si>
  <si>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</si>
  <si>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</si>
  <si>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</si>
  <si>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</si>
  <si>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</si>
  <si>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</si>
  <si>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</si>
  <si>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</si>
  <si>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</si>
  <si>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</si>
  <si>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</si>
  <si>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</si>
  <si>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</si>
  <si>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</si>
  <si>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</si>
  <si>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</si>
  <si>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</si>
  <si>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</si>
  <si>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</si>
  <si>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</si>
  <si>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</si>
  <si>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</si>
  <si>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</si>
  <si>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</si>
  <si>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</si>
  <si>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</si>
  <si>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</si>
  <si>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</si>
  <si>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</si>
  <si>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</si>
  <si>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</si>
  <si>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</si>
  <si>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</si>
  <si>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</si>
  <si>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</si>
  <si>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</si>
  <si>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</si>
  <si>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</si>
  <si>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</si>
  <si>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</si>
  <si>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</si>
  <si>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</si>
  <si>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</si>
  <si>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</si>
  <si>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</si>
  <si>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</si>
  <si>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</si>
  <si>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</si>
  <si>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</si>
  <si>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</si>
  <si>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</si>
  <si>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</si>
  <si>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</si>
  <si>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</si>
  <si>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</si>
  <si>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</si>
  <si>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</si>
  <si>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</si>
  <si>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</si>
  <si>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</si>
  <si>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</si>
  <si>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</si>
  <si>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</si>
  <si>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</si>
  <si>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</si>
  <si>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</si>
  <si>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</si>
  <si>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</si>
  <si>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</si>
  <si>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</si>
  <si>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</si>
  <si>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</si>
  <si>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</si>
  <si>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</si>
  <si>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</si>
  <si>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</si>
  <si>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</si>
  <si>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</si>
  <si>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</si>
  <si>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</si>
  <si>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</si>
  <si>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</si>
  <si>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</si>
  <si>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</si>
  <si>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</si>
  <si>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</si>
  <si>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</si>
  <si>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</si>
  <si>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</si>
  <si>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</si>
  <si>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</si>
  <si>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</si>
  <si>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</si>
  <si>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</si>
  <si>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</si>
  <si>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</si>
  <si>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</si>
  <si>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</si>
  <si>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</si>
  <si>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</si>
  <si>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</si>
  <si>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</si>
  <si>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</si>
  <si>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</si>
  <si>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</si>
  <si>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</si>
  <si>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</si>
  <si>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</si>
  <si>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</si>
  <si>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</si>
  <si>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</si>
  <si>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</si>
  <si>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</si>
  <si>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</si>
  <si>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</si>
  <si>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</si>
  <si>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</si>
  <si>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</si>
  <si>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</si>
  <si>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</si>
  <si>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</si>
  <si>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</si>
  <si>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</si>
  <si>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</si>
  <si>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</si>
  <si>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</si>
  <si>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</si>
  <si>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</si>
  <si>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</si>
  <si>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</si>
  <si>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</si>
  <si>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</si>
  <si>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</si>
  <si>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</si>
  <si>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</si>
  <si>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</si>
  <si>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</si>
  <si>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</si>
  <si>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</si>
  <si>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</si>
  <si>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</si>
  <si>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</si>
  <si>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</si>
  <si>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</si>
  <si>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</si>
  <si>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</si>
  <si>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</si>
  <si>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</si>
  <si>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</si>
  <si>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</si>
  <si>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</si>
  <si>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</si>
  <si>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</si>
  <si>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</si>
  <si>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</si>
  <si>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</si>
  <si>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</si>
  <si>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</si>
  <si>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</si>
  <si>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</si>
  <si>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</si>
  <si>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</si>
  <si>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</si>
  <si>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</si>
  <si>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</si>
  <si>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</si>
  <si>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</si>
  <si>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</si>
  <si>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</si>
  <si>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</si>
  <si>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</si>
  <si>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</si>
  <si>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</si>
  <si>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</si>
  <si>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</si>
  <si>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</si>
  <si>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</si>
  <si>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</si>
  <si>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</si>
  <si>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</si>
  <si>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</si>
  <si>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</si>
  <si>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</si>
  <si>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</si>
  <si>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</si>
  <si>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</si>
  <si>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</si>
  <si>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</si>
  <si>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</si>
  <si>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</si>
  <si>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</si>
  <si>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</si>
  <si>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</si>
  <si>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</si>
  <si>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</si>
  <si>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</si>
  <si>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</si>
  <si>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</si>
  <si>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</si>
  <si>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</si>
  <si>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</si>
  <si>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</si>
  <si>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</si>
  <si>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</si>
  <si>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</si>
  <si>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</si>
  <si>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</si>
  <si>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</si>
  <si>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</si>
  <si>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</si>
  <si>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</si>
  <si>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</si>
  <si>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</si>
  <si>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</si>
  <si>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</si>
  <si>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</si>
  <si>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</si>
  <si>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</si>
  <si>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</si>
  <si>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</si>
  <si>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</si>
  <si>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</si>
  <si>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</si>
  <si>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</si>
  <si>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</si>
  <si>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</si>
  <si>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</si>
  <si>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</si>
  <si>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</si>
  <si>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</si>
  <si>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</si>
  <si>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</si>
  <si>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</si>
  <si>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</si>
  <si>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</si>
  <si>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</si>
  <si>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</si>
  <si>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</si>
  <si>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</si>
  <si>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</si>
  <si>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</si>
  <si>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</si>
  <si>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</si>
  <si>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</si>
  <si>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</si>
  <si>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</si>
  <si>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</si>
  <si>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</si>
  <si>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</si>
  <si>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</si>
  <si>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</si>
  <si>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</si>
  <si>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</si>
  <si>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</si>
  <si>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</si>
  <si>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</si>
  <si>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</si>
  <si>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</si>
  <si>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</si>
  <si>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</si>
  <si>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</si>
  <si>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</si>
  <si>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</si>
  <si>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</si>
  <si>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</si>
  <si>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</si>
  <si>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</si>
  <si>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</si>
  <si>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</si>
  <si>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</si>
  <si>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</si>
  <si>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</si>
  <si>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</si>
  <si>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</si>
  <si>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</si>
  <si>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</si>
  <si>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</si>
  <si>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</si>
  <si>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</si>
  <si>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</si>
  <si>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</si>
  <si>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</si>
  <si>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</si>
  <si>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</si>
  <si>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</si>
  <si>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</si>
  <si>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</si>
  <si>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</si>
  <si>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</si>
  <si>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</si>
  <si>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</si>
  <si>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</si>
  <si>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</si>
  <si>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</si>
  <si>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</si>
  <si>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</si>
  <si>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</si>
  <si>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</si>
  <si>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</si>
  <si>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</si>
  <si>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</si>
  <si>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</si>
  <si>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</si>
  <si>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</si>
  <si>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</si>
  <si>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</si>
  <si>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</si>
  <si>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</si>
  <si>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</si>
  <si>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</si>
  <si>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</si>
  <si>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</si>
  <si>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</si>
  <si>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</si>
  <si>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</si>
  <si>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</si>
  <si>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</si>
  <si>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</si>
  <si>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</si>
  <si>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</si>
  <si>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</si>
  <si>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</si>
  <si>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</si>
  <si>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</si>
  <si>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</si>
  <si>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</si>
  <si>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</si>
  <si>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</si>
  <si>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</si>
  <si>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</si>
  <si>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</si>
  <si>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</si>
  <si>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</si>
  <si>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</si>
  <si>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</si>
  <si>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</si>
  <si>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</si>
  <si>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</si>
  <si>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</si>
  <si>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</si>
  <si>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</si>
  <si>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</si>
  <si>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</si>
  <si>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</si>
  <si>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</si>
  <si>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</si>
  <si>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</si>
  <si>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</si>
  <si>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</si>
  <si>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</si>
  <si>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</si>
  <si>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</si>
  <si>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</si>
  <si>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</si>
  <si>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</si>
  <si>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</si>
  <si>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</si>
  <si>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</si>
  <si>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</si>
  <si>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</si>
  <si>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</si>
  <si>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</si>
  <si>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</si>
  <si>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</si>
  <si>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</si>
  <si>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</si>
  <si>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</si>
  <si>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</si>
  <si>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</si>
  <si>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</si>
  <si>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</si>
  <si>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</si>
  <si>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</si>
  <si>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</si>
  <si>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</si>
  <si>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</si>
  <si>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</si>
  <si>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</si>
  <si>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</si>
  <si>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</si>
  <si>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</si>
  <si>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</si>
  <si>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</si>
  <si>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</si>
  <si>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</si>
  <si>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</si>
  <si>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</si>
  <si>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</si>
  <si>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</si>
  <si>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</si>
  <si>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</si>
  <si>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</si>
  <si>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</si>
  <si>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</si>
  <si>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</si>
  <si>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</si>
  <si>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</si>
  <si>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</si>
  <si>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</si>
  <si>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</si>
  <si>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</si>
  <si>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</si>
  <si>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</si>
  <si>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</si>
  <si>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</si>
  <si>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</si>
  <si>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</si>
  <si>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</si>
  <si>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</si>
  <si>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</si>
  <si>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</si>
  <si>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</si>
  <si>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</si>
  <si>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</si>
  <si>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</si>
  <si>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</si>
  <si>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</si>
  <si>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</si>
  <si>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</si>
  <si>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</si>
  <si>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</si>
  <si>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</si>
  <si>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</si>
  <si>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</si>
  <si>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</si>
  <si>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</si>
  <si>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</si>
  <si>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</si>
  <si>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</si>
  <si>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</si>
  <si>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</si>
  <si>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</si>
  <si>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</si>
  <si>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</si>
  <si>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</si>
  <si>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</si>
  <si>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</si>
  <si>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</si>
  <si>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</si>
  <si>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</si>
  <si>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</si>
  <si>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</si>
  <si>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</si>
  <si>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</si>
  <si>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</si>
  <si>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</si>
  <si>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</si>
  <si>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</si>
  <si>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</si>
  <si>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</si>
  <si>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</si>
  <si>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</si>
  <si>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</si>
  <si>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</si>
  <si>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</si>
  <si>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</si>
  <si>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</si>
  <si>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</si>
  <si>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</si>
  <si>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</si>
  <si>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</si>
  <si>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</si>
  <si>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</si>
  <si>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</si>
  <si>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</si>
  <si>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</si>
  <si>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</si>
  <si>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</si>
  <si>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</si>
  <si>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</si>
  <si>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</si>
  <si>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</si>
  <si>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</si>
  <si>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</si>
  <si>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</si>
  <si>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</si>
  <si>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</si>
  <si>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</si>
  <si>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</si>
  <si>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</si>
  <si>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</si>
  <si>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</si>
  <si>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</si>
  <si>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</si>
  <si>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</si>
  <si>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</si>
  <si>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</si>
  <si>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</si>
  <si>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</si>
  <si>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</si>
  <si>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</si>
  <si>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</si>
  <si>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</si>
  <si>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</si>
  <si>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</si>
  <si>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</si>
  <si>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</si>
  <si>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</si>
  <si>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</si>
  <si>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</si>
  <si>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</si>
  <si>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</si>
  <si>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</si>
  <si>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</si>
  <si>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</si>
  <si>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</si>
  <si>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</si>
  <si>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</si>
  <si>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</si>
  <si>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</si>
  <si>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</si>
  <si>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</si>
  <si>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</si>
  <si>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</si>
  <si>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</si>
  <si>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</si>
  <si>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</si>
  <si>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</si>
  <si>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</si>
  <si>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</si>
  <si>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</si>
  <si>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</si>
  <si>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</si>
  <si>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</si>
  <si>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</si>
  <si>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</si>
  <si>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</si>
  <si>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</si>
  <si>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</si>
  <si>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</si>
  <si>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</si>
  <si>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</si>
  <si>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</si>
  <si>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</si>
  <si>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</si>
  <si>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</si>
  <si>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</si>
  <si>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</si>
  <si>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</si>
  <si>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</si>
  <si>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</si>
  <si>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</si>
  <si>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</si>
  <si>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</si>
  <si>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</si>
  <si>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</si>
  <si>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</si>
  <si>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</si>
  <si>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</si>
  <si>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</si>
  <si>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</si>
  <si>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</si>
  <si>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</si>
  <si>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</si>
  <si>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</si>
  <si>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</si>
  <si>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</si>
  <si>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</si>
  <si>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</si>
  <si>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</si>
  <si>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</si>
  <si>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</si>
  <si>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</si>
  <si>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</si>
  <si>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</si>
  <si>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</si>
  <si>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</si>
  <si>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</si>
  <si>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</si>
  <si>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</si>
  <si>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</si>
  <si>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</si>
  <si>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</si>
  <si>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</si>
  <si>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</si>
  <si>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</si>
  <si>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</si>
  <si>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</si>
  <si>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</si>
  <si>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</si>
  <si>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</si>
  <si>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</si>
  <si>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</si>
  <si>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</si>
  <si>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</si>
  <si>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</si>
  <si>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</si>
  <si>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</si>
  <si>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</si>
  <si>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</si>
  <si>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</si>
  <si>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</si>
  <si>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</si>
  <si>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</si>
  <si>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</si>
  <si>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</si>
  <si>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</si>
  <si>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</si>
  <si>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</si>
  <si>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</si>
  <si>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</si>
  <si>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</si>
  <si>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</si>
  <si>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</si>
  <si>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</si>
  <si>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</si>
  <si>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</si>
  <si>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</si>
  <si>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</si>
  <si>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</si>
  <si>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</si>
  <si>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</si>
  <si>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</si>
  <si>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</si>
  <si>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</si>
  <si>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</si>
  <si>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</si>
  <si>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</si>
  <si>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</si>
  <si>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</si>
  <si>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</si>
  <si>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</si>
  <si>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</si>
  <si>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</si>
  <si>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</si>
  <si>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</si>
  <si>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</si>
  <si>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</si>
  <si>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</si>
  <si>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</si>
  <si>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</si>
  <si>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</si>
  <si>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</si>
  <si>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</si>
  <si>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</si>
  <si>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</si>
  <si>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</si>
  <si>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</si>
  <si>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</si>
  <si>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</si>
  <si>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</si>
  <si>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</si>
  <si>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</si>
  <si>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</si>
  <si>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</si>
  <si>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</si>
  <si>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</si>
  <si>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</si>
  <si>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</si>
  <si>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</si>
  <si>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</si>
  <si>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</si>
  <si>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</si>
  <si>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</si>
  <si>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</si>
  <si>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</si>
  <si>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</si>
  <si>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</si>
  <si>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</si>
  <si>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</si>
  <si>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</si>
  <si>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</si>
  <si>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</si>
  <si>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</si>
  <si>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</si>
  <si>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</si>
  <si>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</si>
  <si>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</si>
  <si>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</si>
  <si>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</si>
  <si>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</si>
  <si>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</si>
  <si>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</si>
  <si>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</si>
  <si>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</si>
  <si>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</si>
  <si>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</si>
  <si>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</si>
  <si>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</si>
  <si>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</si>
  <si>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</si>
  <si>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</si>
  <si>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</si>
  <si>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</si>
  <si>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</si>
  <si>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</si>
  <si>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</si>
  <si>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</si>
  <si>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</si>
  <si>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</si>
  <si>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</si>
  <si>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</si>
  <si>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</si>
  <si>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</si>
  <si>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</si>
  <si>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</si>
  <si>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</si>
  <si>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</si>
  <si>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</si>
  <si>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</si>
  <si>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</si>
  <si>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</si>
  <si>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</si>
  <si>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</si>
  <si>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</si>
  <si>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</si>
  <si>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</si>
  <si>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</si>
  <si>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</si>
  <si>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</si>
  <si>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</si>
  <si>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</si>
  <si>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</si>
  <si>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</si>
  <si>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</si>
  <si>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</si>
  <si>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</si>
  <si>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</si>
  <si>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</si>
  <si>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</si>
  <si>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</si>
  <si>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</si>
  <si>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</si>
  <si>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</si>
  <si>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</si>
  <si>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</si>
  <si>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</si>
  <si>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</si>
  <si>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</si>
  <si>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</si>
  <si>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</si>
  <si>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</si>
  <si>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</si>
  <si>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</si>
  <si>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</si>
  <si>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</si>
  <si>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</si>
  <si>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</si>
  <si>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</si>
  <si>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</si>
  <si>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</si>
  <si>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</si>
  <si>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</si>
  <si>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</si>
  <si>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</si>
  <si>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</si>
  <si>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</si>
  <si>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</si>
  <si>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</si>
  <si>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</si>
  <si>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</si>
  <si>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</si>
  <si>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</si>
  <si>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</si>
  <si>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</si>
  <si>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</si>
  <si>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</si>
  <si>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</si>
  <si>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</si>
  <si>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</si>
  <si>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</si>
  <si>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</si>
  <si>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</si>
  <si>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</si>
  <si>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</si>
  <si>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</si>
  <si>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</si>
  <si>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</si>
  <si>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</si>
  <si>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</si>
  <si>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</si>
  <si>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</si>
  <si>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</si>
  <si>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</si>
  <si>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</si>
  <si>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</si>
  <si>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</si>
  <si>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</si>
  <si>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</si>
  <si>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</si>
  <si>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</si>
  <si>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</si>
  <si>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</si>
  <si>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</si>
  <si>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</si>
  <si>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</si>
  <si>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</si>
  <si>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</si>
  <si>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</si>
  <si>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</si>
  <si>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</si>
  <si>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</si>
  <si>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</si>
  <si>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</si>
  <si>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</si>
  <si>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</si>
  <si>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</si>
  <si>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</si>
  <si>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</si>
  <si>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</si>
  <si>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</si>
  <si>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</si>
  <si>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</si>
  <si>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</si>
  <si>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</si>
  <si>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</si>
  <si>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</si>
  <si>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</si>
  <si>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</si>
  <si>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</si>
  <si>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</si>
  <si>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</si>
  <si>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</si>
  <si>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</si>
  <si>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</si>
  <si>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</si>
  <si>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</si>
  <si>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</si>
  <si>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</si>
  <si>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</si>
  <si>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</si>
  <si>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</si>
  <si>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</si>
  <si>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</si>
  <si>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</si>
  <si>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</si>
  <si>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</si>
  <si>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</si>
  <si>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</si>
  <si>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</si>
  <si>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</si>
  <si>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</si>
  <si>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</si>
  <si>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</si>
  <si>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</si>
  <si>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</si>
  <si>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</si>
  <si>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</si>
  <si>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</si>
  <si>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</si>
  <si>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</si>
  <si>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</si>
  <si>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</si>
  <si>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</si>
  <si>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</si>
  <si>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</si>
  <si>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</si>
  <si>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</si>
  <si>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</si>
  <si>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</si>
  <si>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</si>
  <si>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</si>
  <si>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</si>
  <si>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</si>
  <si>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</si>
  <si>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</si>
  <si>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</si>
  <si>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</si>
  <si>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</si>
  <si>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</si>
  <si>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</si>
  <si>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</si>
  <si>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</si>
  <si>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</si>
  <si>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</si>
  <si>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</si>
  <si>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</si>
  <si>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</si>
  <si>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</si>
  <si>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</si>
  <si>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</si>
  <si>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</si>
  <si>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</si>
  <si>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</si>
  <si>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</si>
  <si>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</si>
  <si>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</si>
  <si>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</si>
  <si>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</si>
  <si>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</si>
  <si>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</si>
  <si>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</si>
  <si>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</si>
  <si>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</si>
  <si>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</si>
  <si>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</si>
  <si>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</si>
  <si>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</si>
  <si>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</si>
  <si>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</si>
  <si>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</si>
  <si>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</si>
  <si>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</si>
  <si>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</si>
  <si>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</si>
  <si>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</si>
  <si>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</si>
  <si>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</si>
  <si>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</si>
  <si>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</si>
  <si>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</si>
  <si>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</si>
  <si>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</si>
  <si>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</si>
  <si>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</si>
  <si>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</si>
  <si>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</si>
  <si>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</si>
  <si>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</si>
  <si>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</si>
  <si>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</si>
  <si>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</si>
  <si>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</si>
  <si>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</si>
  <si>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</si>
  <si>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</si>
  <si>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</si>
  <si>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</si>
  <si>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</si>
  <si>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</si>
  <si>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</si>
  <si>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</si>
  <si>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</si>
  <si>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</si>
  <si>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</si>
  <si>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</si>
  <si>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</si>
  <si>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</si>
  <si>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</si>
  <si>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</si>
  <si>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</si>
  <si>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</si>
  <si>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</si>
  <si>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</si>
  <si>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</si>
  <si>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</si>
  <si>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</si>
  <si>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</si>
  <si>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</si>
  <si>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</si>
  <si>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</si>
  <si>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</si>
  <si>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</si>
  <si>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</si>
  <si>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</si>
  <si>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</si>
  <si>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</si>
  <si>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</si>
  <si>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</si>
  <si>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</si>
  <si>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</si>
  <si>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</si>
  <si>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</si>
  <si>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</si>
  <si>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</si>
  <si>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</si>
  <si>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</si>
  <si>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</si>
  <si>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</si>
  <si>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</si>
  <si>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</si>
  <si>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</si>
  <si>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</si>
  <si>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</si>
  <si>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</si>
  <si>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</si>
  <si>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</si>
  <si>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</si>
  <si>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</si>
  <si>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</si>
  <si>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</si>
  <si>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</si>
  <si>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</si>
  <si>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</si>
  <si>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</si>
  <si>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</si>
  <si>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</si>
  <si>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</si>
  <si>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</si>
  <si>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</si>
  <si>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</si>
  <si>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</si>
  <si>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</si>
  <si>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</si>
  <si>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</si>
  <si>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</si>
  <si>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</si>
  <si>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</si>
  <si>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</si>
  <si>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</si>
  <si>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</si>
  <si>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</si>
  <si>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</si>
  <si>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</si>
  <si>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</si>
  <si>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</si>
  <si>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</si>
  <si>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</si>
  <si>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</si>
  <si>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</si>
  <si>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</si>
  <si>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</si>
  <si>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</si>
  <si>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</si>
  <si>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</si>
  <si>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</si>
  <si>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</si>
  <si>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</si>
  <si>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</si>
  <si>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</si>
  <si>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</si>
  <si>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</si>
  <si>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</si>
  <si>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</si>
  <si>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</si>
  <si>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</si>
  <si>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</si>
  <si>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</si>
  <si>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</si>
  <si>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</si>
  <si>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</si>
  <si>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</si>
  <si>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</si>
  <si>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</si>
  <si>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</si>
  <si>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</si>
  <si>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</si>
  <si>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</si>
  <si>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</si>
  <si>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</si>
  <si>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</si>
  <si>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</si>
  <si>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</si>
  <si>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</si>
  <si>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</si>
  <si>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</si>
  <si>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</si>
  <si>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</si>
  <si>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</si>
  <si>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</si>
  <si>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</si>
  <si>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</si>
  <si>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</si>
  <si>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</si>
  <si>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</si>
  <si>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</si>
  <si>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</si>
  <si>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</si>
  <si>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</si>
  <si>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</si>
  <si>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</si>
  <si>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</si>
  <si>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</si>
  <si>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</si>
  <si>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</si>
  <si>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</si>
  <si>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</si>
  <si>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</si>
  <si>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</si>
  <si>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</si>
  <si>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</si>
  <si>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</si>
  <si>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</si>
  <si>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</si>
  <si>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</si>
  <si>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</si>
  <si>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</si>
  <si>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</si>
  <si>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</si>
  <si>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</si>
  <si>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</si>
  <si>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</si>
  <si>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</si>
  <si>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</si>
  <si>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</si>
  <si>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</si>
  <si>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</si>
  <si>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</si>
  <si>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</si>
  <si>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</si>
  <si>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</si>
  <si>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</si>
  <si>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</si>
  <si>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</si>
  <si>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</si>
  <si>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</si>
  <si>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</si>
  <si>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</si>
  <si>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</si>
  <si>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</si>
  <si>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</si>
  <si>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</si>
  <si>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</si>
  <si>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</si>
  <si>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</si>
  <si>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</si>
  <si>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</si>
  <si>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</si>
  <si>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</si>
  <si>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</si>
  <si>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</si>
  <si>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</si>
  <si>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</si>
  <si>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</si>
  <si>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</si>
  <si>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</si>
  <si>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</si>
  <si>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</si>
  <si>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</si>
  <si>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</si>
  <si>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</si>
  <si>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</si>
  <si>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</si>
  <si>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</si>
  <si>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</si>
  <si>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</si>
  <si>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</si>
  <si>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</si>
  <si>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</si>
  <si>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</si>
  <si>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</si>
  <si>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</si>
  <si>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</si>
  <si>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</si>
  <si>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</si>
  <si>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</si>
  <si>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</si>
  <si>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</si>
  <si>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</si>
  <si>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</si>
  <si>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</si>
  <si>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</si>
  <si>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</si>
  <si>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</si>
  <si>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</si>
  <si>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</si>
  <si>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</si>
  <si>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</si>
  <si>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</si>
  <si>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AMITRON CORPORATION</t>
  </si>
  <si>
    <t>154969893</t>
  </si>
  <si>
    <t>DUNNS</t>
  </si>
  <si>
    <t>2001 LANDMEIER ROAD, ELK GROVE VILLAGE, IL 60007</t>
  </si>
  <si>
    <t>CHARLIE SAVALIYA</t>
  </si>
  <si>
    <t>csavaliya@amitroncorp.com</t>
  </si>
  <si>
    <t>847-290-9800</t>
  </si>
  <si>
    <t>DIRECTOR OF QUALITY</t>
  </si>
  <si>
    <t>Used as etch resist or final surface finish</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</si>
</sst>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7" xfId="588"/>
    <cellStyle name="표준 2" xfId="587"/>
    <cellStyle name="標準 2" xfId="589"/>
    <cellStyle name="標準 2 2" xfId="590"/>
    <cellStyle name="標準 2 3" xfId="591"/>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savaliya@amitroncorp.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savaliya@amitroncorp.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75">
      <c r="A4" s="363"/>
      <c r="B4" s="41" t="s">
        <v>849</v>
      </c>
      <c r="C4" s="7"/>
      <c r="D4" s="208"/>
      <c r="E4" s="3"/>
      <c r="F4" s="7"/>
      <c r="G4" s="34"/>
    </row>
    <row r="5" spans="1:7">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33.75">
      <c r="A13" s="363"/>
      <c r="B13" s="2">
        <v>1</v>
      </c>
      <c r="C13" s="37" t="s">
        <v>1088</v>
      </c>
      <c r="D13" s="39" t="s">
        <v>876</v>
      </c>
      <c r="E13" s="194" t="s">
        <v>853</v>
      </c>
      <c r="F13" s="194"/>
      <c r="G13" s="34"/>
    </row>
    <row r="14" spans="1:7" ht="33.75">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45" customHeight="1">
      <c r="A29" s="363"/>
      <c r="B29" s="376"/>
      <c r="C29" s="370"/>
      <c r="D29" s="373"/>
      <c r="E29" s="361"/>
      <c r="F29" s="196" t="s">
        <v>61</v>
      </c>
      <c r="G29" s="34"/>
    </row>
    <row r="30" spans="1:7" ht="62.4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4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26.75">
      <c r="A36" s="363"/>
      <c r="B36" s="377"/>
      <c r="C36" s="371"/>
      <c r="D36" s="374"/>
      <c r="E36" s="362"/>
      <c r="F36" s="197" t="s">
        <v>69</v>
      </c>
      <c r="G36" s="34"/>
    </row>
    <row r="37" spans="1:7" ht="112.5">
      <c r="A37" s="363"/>
      <c r="B37" s="170">
        <v>3.01</v>
      </c>
      <c r="C37" s="171" t="s">
        <v>70</v>
      </c>
      <c r="D37" s="39" t="s">
        <v>2270</v>
      </c>
      <c r="E37" s="198" t="s">
        <v>1328</v>
      </c>
      <c r="F37" s="199" t="s">
        <v>1434</v>
      </c>
      <c r="G37" s="34"/>
    </row>
    <row r="38" spans="1:7" ht="101.25">
      <c r="A38" s="363"/>
      <c r="B38" s="170">
        <v>3.02</v>
      </c>
      <c r="C38" s="171" t="s">
        <v>1361</v>
      </c>
      <c r="D38" s="39" t="s">
        <v>2271</v>
      </c>
      <c r="E38" s="198" t="s">
        <v>1376</v>
      </c>
      <c r="F38" s="199" t="s">
        <v>1435</v>
      </c>
      <c r="G38" s="34"/>
    </row>
    <row r="39" spans="1:7" ht="101.25">
      <c r="A39" s="363"/>
      <c r="B39" s="180">
        <v>4</v>
      </c>
      <c r="C39" s="179" t="s">
        <v>1531</v>
      </c>
      <c r="D39" s="39" t="s">
        <v>2272</v>
      </c>
      <c r="E39" s="37" t="s">
        <v>2215</v>
      </c>
      <c r="F39" s="37" t="s">
        <v>1532</v>
      </c>
      <c r="G39" s="34"/>
    </row>
    <row r="40" spans="1:7" ht="56.25">
      <c r="A40" s="363"/>
      <c r="B40" s="170">
        <v>4.01</v>
      </c>
      <c r="C40" s="179" t="s">
        <v>1531</v>
      </c>
      <c r="D40" s="39" t="s">
        <v>2274</v>
      </c>
      <c r="E40" s="37" t="s">
        <v>2229</v>
      </c>
      <c r="F40" s="37" t="s">
        <v>2233</v>
      </c>
      <c r="G40" s="34"/>
    </row>
    <row r="41" spans="1:7" ht="56.25">
      <c r="A41" s="363"/>
      <c r="B41" s="170" t="s">
        <v>2261</v>
      </c>
      <c r="C41" s="179" t="s">
        <v>1531</v>
      </c>
      <c r="D41" s="39" t="s">
        <v>2273</v>
      </c>
      <c r="E41" s="37" t="s">
        <v>2264</v>
      </c>
      <c r="F41" s="37" t="s">
        <v>2262</v>
      </c>
      <c r="G41" s="34"/>
    </row>
    <row r="42" spans="1:7" ht="56.25">
      <c r="A42" s="363"/>
      <c r="B42" s="170" t="s">
        <v>2299</v>
      </c>
      <c r="C42" s="179" t="s">
        <v>1531</v>
      </c>
      <c r="D42" s="39" t="s">
        <v>2306</v>
      </c>
      <c r="E42" s="37" t="s">
        <v>2263</v>
      </c>
      <c r="F42" s="37" t="s">
        <v>2300</v>
      </c>
      <c r="G42" s="34"/>
    </row>
    <row r="43" spans="1:7" ht="123.75">
      <c r="A43" s="363"/>
      <c r="B43" s="191">
        <v>4.0999999999999996</v>
      </c>
      <c r="C43" s="179" t="s">
        <v>2305</v>
      </c>
      <c r="D43" s="192">
        <v>42867</v>
      </c>
      <c r="E43" s="200" t="s">
        <v>2308</v>
      </c>
      <c r="F43" s="37" t="s">
        <v>2307</v>
      </c>
      <c r="G43" s="34"/>
    </row>
    <row r="44" spans="1:7" ht="78.75">
      <c r="A44" s="363"/>
      <c r="B44" s="191">
        <v>4.2</v>
      </c>
      <c r="C44" s="179" t="s">
        <v>2305</v>
      </c>
      <c r="D44" s="192">
        <v>42704</v>
      </c>
      <c r="E44" s="200" t="s">
        <v>2510</v>
      </c>
      <c r="F44" s="37" t="s">
        <v>2485</v>
      </c>
      <c r="G44" s="34"/>
    </row>
    <row r="45" spans="1:7" ht="157.5">
      <c r="A45" s="363"/>
      <c r="B45" s="240">
        <v>5</v>
      </c>
      <c r="C45" s="179" t="s">
        <v>2305</v>
      </c>
      <c r="D45" s="192">
        <v>42867</v>
      </c>
      <c r="E45" s="200" t="s">
        <v>12917</v>
      </c>
      <c r="F45" s="37" t="s">
        <v>12639</v>
      </c>
      <c r="G45" s="34"/>
    </row>
    <row r="46" spans="1:7" ht="45">
      <c r="A46" s="363"/>
      <c r="B46" s="191">
        <v>5.01</v>
      </c>
      <c r="C46" s="179" t="s">
        <v>2305</v>
      </c>
      <c r="D46" s="192">
        <v>42907</v>
      </c>
      <c r="E46" s="200" t="s">
        <v>12935</v>
      </c>
      <c r="F46" s="37" t="s">
        <v>12639</v>
      </c>
      <c r="G46" s="34"/>
    </row>
    <row r="47" spans="1:7" ht="67.5">
      <c r="A47" s="363"/>
      <c r="B47" s="191">
        <v>5.0999999999999996</v>
      </c>
      <c r="C47" s="179" t="s">
        <v>2305</v>
      </c>
      <c r="D47" s="192">
        <v>43070</v>
      </c>
      <c r="E47" s="200" t="s">
        <v>13129</v>
      </c>
      <c r="F47" s="37" t="s">
        <v>13130</v>
      </c>
      <c r="G47" s="34"/>
    </row>
    <row r="48" spans="1:7" ht="56.25">
      <c r="A48" s="363"/>
      <c r="B48" s="191">
        <v>5.1100000000000003</v>
      </c>
      <c r="C48" s="179" t="s">
        <v>13371</v>
      </c>
      <c r="D48" s="192">
        <v>43217</v>
      </c>
      <c r="E48" s="200" t="s">
        <v>13499</v>
      </c>
      <c r="F48" s="37" t="s">
        <v>13405</v>
      </c>
      <c r="G48" s="34"/>
    </row>
    <row r="49" spans="1:7" ht="56.25">
      <c r="A49" s="363"/>
      <c r="B49" s="191">
        <v>5.12</v>
      </c>
      <c r="C49" s="179" t="s">
        <v>13371</v>
      </c>
      <c r="D49" s="192">
        <v>43581</v>
      </c>
      <c r="E49" s="200" t="s">
        <v>13499</v>
      </c>
      <c r="F49" s="37" t="s">
        <v>14064</v>
      </c>
      <c r="G49" s="34"/>
    </row>
    <row r="50" spans="1:7" ht="78.75">
      <c r="A50" s="363"/>
      <c r="B50" s="240">
        <v>6</v>
      </c>
      <c r="C50" s="179" t="s">
        <v>13371</v>
      </c>
      <c r="D50" s="192">
        <v>43964</v>
      </c>
      <c r="E50" s="200" t="s">
        <v>14291</v>
      </c>
      <c r="F50" s="37" t="s">
        <v>14074</v>
      </c>
      <c r="G50" s="34"/>
    </row>
    <row r="51" spans="1:7" ht="45">
      <c r="A51" s="363"/>
      <c r="B51" s="191">
        <v>6.01</v>
      </c>
      <c r="C51" s="179" t="s">
        <v>13371</v>
      </c>
      <c r="D51" s="192">
        <v>43970</v>
      </c>
      <c r="E51" s="200" t="s">
        <v>15309</v>
      </c>
      <c r="F51" s="200" t="s">
        <v>14074</v>
      </c>
      <c r="G51" s="34"/>
    </row>
    <row r="52" spans="1:7" ht="45">
      <c r="A52" s="363"/>
      <c r="B52" s="191">
        <v>6.1</v>
      </c>
      <c r="C52" s="179" t="s">
        <v>13371</v>
      </c>
      <c r="D52" s="192">
        <v>44314</v>
      </c>
      <c r="E52" s="200" t="s">
        <v>15314</v>
      </c>
      <c r="F52" s="200" t="s">
        <v>15319</v>
      </c>
      <c r="G52" s="34"/>
    </row>
    <row r="53" spans="1:7" ht="13.5" thickBot="1">
      <c r="A53" s="364"/>
      <c r="B53" s="365" t="str">
        <f ca="1">OFFSET(L!$C$1,MATCH("General"&amp;"Cpy",L!$A:$A,0)-1,SL,,)</f>
        <v>© 2021 Responsible Minerals Initiative. All rights reserved.</v>
      </c>
      <c r="C53" s="365"/>
      <c r="D53" s="365"/>
      <c r="E53" s="365"/>
      <c r="F53" s="365"/>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10" zoomScalePageLayoutView="70" workbookViewId="0">
      <selection activeCell="J23" sqref="J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494</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5" t="str">
        <f ca="1">OFFSET(L!$C$1,MATCH("Declaration"&amp;ADDRESS(ROW(),COLUMN(),4)&amp;LEFT($D$9,1),L!$A:$A,0)-1,SL,,)</f>
        <v>Description of Scope:</v>
      </c>
      <c r="C10" s="151"/>
      <c r="D10" s="416"/>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8" t="s">
        <v>15607</v>
      </c>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8" t="s">
        <v>15608</v>
      </c>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8" t="s">
        <v>15609</v>
      </c>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15610</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15611</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15612</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15610</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15613</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15611</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t="s">
        <v>15612</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44411</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t="s">
        <v>15614</v>
      </c>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t="s">
        <v>15614</v>
      </c>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t="s">
        <v>15614</v>
      </c>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t="s">
        <v>15614</v>
      </c>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31"/>
      <c r="I37" s="431"/>
      <c r="J37" s="431"/>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489</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1" t="str">
        <f ca="1">D25</f>
        <v>Answer</v>
      </c>
      <c r="E43" s="391"/>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489</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488</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488</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9"/>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9">
        <v>1</v>
      </c>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9">
        <v>1</v>
      </c>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9"/>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489</v>
      </c>
      <c r="E77" s="385"/>
      <c r="F77" s="68"/>
      <c r="G77" s="403"/>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1" t="s">
        <v>488</v>
      </c>
      <c r="E85" s="442"/>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C16" sqref="C16"/>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
        <v>1130</v>
      </c>
      <c r="C5" s="219" t="s">
        <v>1229</v>
      </c>
      <c r="D5" s="278"/>
      <c r="E5" s="215" t="str">
        <f ca="1">IF(ISERROR($V5),"",OFFSET('Smelter Look-up'!$D$4,$V5-4,0)&amp;"")</f>
        <v>UNITED STATES OF AMERICA</v>
      </c>
      <c r="F5" s="215" t="str">
        <f ca="1">IF(ISERROR($V5),"",OFFSET('Smelter Look-up'!$E$4,$V5-4,0))</f>
        <v>CID001157</v>
      </c>
      <c r="G5" s="215" t="str">
        <f ca="1">IF(C5=$X$4,"Enter smelter details",IF(ISERROR($V5),"",OFFSET('Smelter Look-up'!$F$4,$V5-4,0)))</f>
        <v>RMI</v>
      </c>
      <c r="H5" s="216">
        <f ca="1">IF(ISERROR($V5),"",OFFSET('Smelter Look-up'!$G$4,$V5-4,0))</f>
        <v>0</v>
      </c>
      <c r="I5" s="217" t="str">
        <f ca="1">IF(ISERROR($V5),"",OFFSET('Smelter Look-up'!$H$4,$V5-4,0))</f>
        <v>North Attleboro</v>
      </c>
      <c r="J5" s="217" t="str">
        <f ca="1">IF(ISERROR($V5),"",OFFSET('Smelter Look-up'!$I$4,$V5-4,0))</f>
        <v>Massachusetts</v>
      </c>
      <c r="K5" s="268"/>
      <c r="L5" s="268"/>
      <c r="M5" s="268"/>
      <c r="N5" s="268"/>
      <c r="O5" s="268"/>
      <c r="P5" s="218"/>
      <c r="Q5" s="269"/>
      <c r="R5" s="215" t="str">
        <f ca="1">IF(ISERROR($V5),"",OFFSET('Smelter Look-up'!$C$4,$V5-4,0)&amp;"")</f>
        <v>Metalor USA Refining Corporation</v>
      </c>
      <c r="S5" s="222" t="str">
        <f t="shared" ref="S5" ca="1" si="0">IF(B5="","",IF(ISERROR(MATCH($E5,CL,0)),"Unknown",INDIRECT("'C'!$A$"&amp;MATCH($E5,CL,0)+1)))</f>
        <v>US</v>
      </c>
      <c r="T5" s="222" t="str">
        <f ca="1">IF(B5="","",IF(ISERROR(MATCH($J5,SorP!$B$1:$B$6230,0)),"",INDIRECT("'SorP'!$A$"&amp;MATCH($J5,SorP!$B$1:$B$6230,0))))</f>
        <v>US-MA</v>
      </c>
      <c r="U5" s="238"/>
      <c r="V5" s="270">
        <f>IF(C5="",NA(),MATCH($B5&amp;$C5,'Smelter Look-up'!$J:$J,0))</f>
        <v>172</v>
      </c>
      <c r="W5" s="271"/>
      <c r="X5" s="271">
        <f t="shared" ref="X5" ca="1" si="1">IF(AND(C5="Smelter not listed",OR(LEN(D5)=0,LEN(E5)=0)),1,0)</f>
        <v>0</v>
      </c>
      <c r="Y5" s="271"/>
      <c r="Z5" s="271"/>
      <c r="AB5" s="273" t="str">
        <f t="shared" ref="AB5" si="2">B5&amp;C5</f>
        <v>GoldMetalor USA Refining Corporation</v>
      </c>
    </row>
    <row r="6" spans="1:34" s="272" customFormat="1" ht="20.100000000000001" customHeight="1">
      <c r="A6" s="324"/>
      <c r="B6" s="215" t="s">
        <v>1131</v>
      </c>
      <c r="C6" s="219" t="s">
        <v>2165</v>
      </c>
      <c r="D6" s="278"/>
      <c r="E6" s="215" t="str">
        <f ca="1">IF(ISERROR($V6),"",OFFSET('Smelter Look-up'!$D$4,$V6-4,0)&amp;"")</f>
        <v>UNITED STATES OF AMERICA</v>
      </c>
      <c r="F6" s="215" t="str">
        <f ca="1">IF(ISERROR($V6),"",OFFSET('Smelter Look-up'!$E$4,$V6-4,0))</f>
        <v>CID001142</v>
      </c>
      <c r="G6" s="215" t="str">
        <f ca="1">IF(C6=$X$4,"Enter smelter details",IF(ISERROR($V6),"",OFFSET('Smelter Look-up'!$F$4,$V6-4,0)))</f>
        <v>RMI</v>
      </c>
      <c r="H6" s="216">
        <f ca="1">IF(ISERROR($V6),"",OFFSET('Smelter Look-up'!$G$4,$V6-4,0))</f>
        <v>0</v>
      </c>
      <c r="I6" s="217" t="str">
        <f ca="1">IF(ISERROR($V6),"",OFFSET('Smelter Look-up'!$H$4,$V6-4,0))</f>
        <v>Twinsburg</v>
      </c>
      <c r="J6" s="217" t="str">
        <f ca="1">IF(ISERROR($V6),"",OFFSET('Smelter Look-up'!$I$4,$V6-4,0))</f>
        <v>Ohio</v>
      </c>
      <c r="K6" s="268"/>
      <c r="L6" s="268"/>
      <c r="M6" s="268"/>
      <c r="N6" s="268"/>
      <c r="O6" s="268"/>
      <c r="P6" s="218"/>
      <c r="Q6" s="269"/>
      <c r="R6" s="215" t="str">
        <f ca="1">IF(ISERROR($V6),"",OFFSET('Smelter Look-up'!$C$4,$V6-4,0)&amp;"")</f>
        <v>Metallic Resources, Inc.</v>
      </c>
      <c r="S6" s="222" t="str">
        <f t="shared" ref="S6:S37" ca="1" si="3">IF(B6="","",IF(ISERROR(MATCH($E6,CL,0)),"Unknown",INDIRECT("'C'!$A$"&amp;MATCH($E6,CL,0)+1)))</f>
        <v>US</v>
      </c>
      <c r="T6" s="222" t="str">
        <f ca="1">IF(B6="","",IF(ISERROR(MATCH($J6,SorP!$B$1:$B$6230,0)),"",INDIRECT("'SorP'!$A$"&amp;MATCH($J6,SorP!$B$1:$B$6230,0))))</f>
        <v>US-OH</v>
      </c>
      <c r="U6" s="238"/>
      <c r="V6" s="270">
        <f>IF(C6="",NA(),MATCH($B6&amp;$C6,'Smelter Look-up'!$J:$J,0))</f>
        <v>453</v>
      </c>
      <c r="W6" s="271"/>
      <c r="X6" s="271">
        <f t="shared" ref="X6:X37" ca="1" si="4">IF(AND(C6="Smelter not listed",OR(LEN(D6)=0,LEN(E6)=0)),1,0)</f>
        <v>0</v>
      </c>
      <c r="Y6" s="271"/>
      <c r="Z6" s="271"/>
      <c r="AB6" s="273" t="str">
        <f t="shared" ref="AB6:AB37" si="5">B6&amp;C6</f>
        <v>TinMetallic Resources, Inc.</v>
      </c>
    </row>
    <row r="7" spans="1:34" s="272" customFormat="1" ht="20.100000000000001" customHeight="1">
      <c r="A7" s="324"/>
      <c r="B7" s="215" t="s">
        <v>1131</v>
      </c>
      <c r="C7" s="219" t="s">
        <v>1034</v>
      </c>
      <c r="D7" s="278"/>
      <c r="E7" s="215" t="str">
        <f ca="1">IF(ISERROR($V7),"",OFFSET('Smelter Look-up'!$D$4,$V7-4,0)&amp;"")</f>
        <v>PERU</v>
      </c>
      <c r="F7" s="215" t="str">
        <f ca="1">IF(ISERROR($V7),"",OFFSET('Smelter Look-up'!$E$4,$V7-4,0))</f>
        <v>CID001182</v>
      </c>
      <c r="G7" s="215" t="str">
        <f ca="1">IF(C7=$X$4,"Enter smelter details",IF(ISERROR($V7),"",OFFSET('Smelter Look-up'!$F$4,$V7-4,0)))</f>
        <v>RMI</v>
      </c>
      <c r="H7" s="216">
        <f ca="1">IF(ISERROR($V7),"",OFFSET('Smelter Look-up'!$G$4,$V7-4,0))</f>
        <v>0</v>
      </c>
      <c r="I7" s="217" t="str">
        <f ca="1">IF(ISERROR($V7),"",OFFSET('Smelter Look-up'!$H$4,$V7-4,0))</f>
        <v>Paracas</v>
      </c>
      <c r="J7" s="217" t="str">
        <f ca="1">IF(ISERROR($V7),"",OFFSET('Smelter Look-up'!$I$4,$V7-4,0))</f>
        <v>Ika</v>
      </c>
      <c r="K7" s="268"/>
      <c r="L7" s="268"/>
      <c r="M7" s="268"/>
      <c r="N7" s="268"/>
      <c r="O7" s="268"/>
      <c r="P7" s="218"/>
      <c r="Q7" s="269"/>
      <c r="R7" s="215" t="str">
        <f ca="1">IF(ISERROR($V7),"",OFFSET('Smelter Look-up'!$C$4,$V7-4,0)&amp;"")</f>
        <v>Minsur</v>
      </c>
      <c r="S7" s="222" t="str">
        <f t="shared" ca="1" si="3"/>
        <v>PE</v>
      </c>
      <c r="T7" s="222" t="str">
        <f ca="1">IF(B7="","",IF(ISERROR(MATCH($J7,SorP!$B$1:$B$6230,0)),"",INDIRECT("'SorP'!$A$"&amp;MATCH($J7,SorP!$B$1:$B$6230,0))))</f>
        <v>PE-ICA</v>
      </c>
      <c r="U7" s="238"/>
      <c r="V7" s="270">
        <f>IF(C7="",NA(),MATCH($B7&amp;$C7,'Smelter Look-up'!$J:$J,0))</f>
        <v>460</v>
      </c>
      <c r="W7" s="271"/>
      <c r="X7" s="271">
        <f t="shared" ca="1" si="4"/>
        <v>0</v>
      </c>
      <c r="Y7" s="271"/>
      <c r="Z7" s="271"/>
      <c r="AB7" s="273" t="str">
        <f t="shared" si="5"/>
        <v>TinMinsur</v>
      </c>
    </row>
    <row r="8" spans="1:34" s="272" customFormat="1" ht="20.100000000000001" customHeight="1">
      <c r="A8" s="324"/>
      <c r="B8" s="215" t="s">
        <v>1131</v>
      </c>
      <c r="C8" s="219" t="s">
        <v>14030</v>
      </c>
      <c r="D8" s="278"/>
      <c r="E8" s="215" t="str">
        <f ca="1">IF(ISERROR($V8),"",OFFSET('Smelter Look-up'!$D$4,$V8-4,0)&amp;"")</f>
        <v>BOLIVIA (PLURINATIONAL STATE OF)</v>
      </c>
      <c r="F8" s="215" t="str">
        <f ca="1">IF(ISERROR($V8),"",OFFSET('Smelter Look-up'!$E$4,$V8-4,0))</f>
        <v>CID001337</v>
      </c>
      <c r="G8" s="215" t="str">
        <f ca="1">IF(C8=$X$4,"Enter smelter details",IF(ISERROR($V8),"",OFFSET('Smelter Look-up'!$F$4,$V8-4,0)))</f>
        <v>RMI</v>
      </c>
      <c r="H8" s="216">
        <f ca="1">IF(ISERROR($V8),"",OFFSET('Smelter Look-up'!$G$4,$V8-4,0))</f>
        <v>0</v>
      </c>
      <c r="I8" s="217" t="str">
        <f ca="1">IF(ISERROR($V8),"",OFFSET('Smelter Look-up'!$H$4,$V8-4,0))</f>
        <v>Oruro</v>
      </c>
      <c r="J8" s="217" t="str">
        <f ca="1">IF(ISERROR($V8),"",OFFSET('Smelter Look-up'!$I$4,$V8-4,0))</f>
        <v>Oruro</v>
      </c>
      <c r="K8" s="268"/>
      <c r="L8" s="268"/>
      <c r="M8" s="268"/>
      <c r="N8" s="268"/>
      <c r="O8" s="268"/>
      <c r="P8" s="218"/>
      <c r="Q8" s="269"/>
      <c r="R8" s="215" t="str">
        <f ca="1">IF(ISERROR($V8),"",OFFSET('Smelter Look-up'!$C$4,$V8-4,0)&amp;"")</f>
        <v>Operaciones Metalurgicas S.A.</v>
      </c>
      <c r="S8" s="222" t="str">
        <f t="shared" ca="1" si="3"/>
        <v>BO</v>
      </c>
      <c r="T8" s="222" t="str">
        <f ca="1">IF(B8="","",IF(ISERROR(MATCH($J8,SorP!$B$1:$B$6230,0)),"",INDIRECT("'SorP'!$A$"&amp;MATCH($J8,SorP!$B$1:$B$6230,0))))</f>
        <v>BO-O</v>
      </c>
      <c r="U8" s="238"/>
      <c r="V8" s="270">
        <f>IF(C8="",NA(),MATCH($B8&amp;$C8,'Smelter Look-up'!$J:$J,0))</f>
        <v>472</v>
      </c>
      <c r="W8" s="271"/>
      <c r="X8" s="271">
        <f t="shared" ca="1" si="4"/>
        <v>0</v>
      </c>
      <c r="Y8" s="271"/>
      <c r="Z8" s="271"/>
      <c r="AB8" s="273" t="str">
        <f t="shared" si="5"/>
        <v>TinOperaciones Metalúrgicas S.A.</v>
      </c>
    </row>
    <row r="9" spans="1:34" s="272" customFormat="1" ht="20.100000000000001" customHeight="1">
      <c r="A9" s="324"/>
      <c r="B9" s="215" t="s">
        <v>1131</v>
      </c>
      <c r="C9" s="219" t="s">
        <v>1327</v>
      </c>
      <c r="D9" s="278"/>
      <c r="E9" s="215" t="str">
        <f ca="1">IF(ISERROR($V9),"",OFFSET('Smelter Look-up'!$D$4,$V9-4,0)&amp;"")</f>
        <v>CHINA</v>
      </c>
      <c r="F9" s="215" t="str">
        <f ca="1">IF(ISERROR($V9),"",OFFSET('Smelter Look-up'!$E$4,$V9-4,0))</f>
        <v>CID001070</v>
      </c>
      <c r="G9" s="215" t="str">
        <f ca="1">IF(C9=$X$4,"Enter smelter details",IF(ISERROR($V9),"",OFFSET('Smelter Look-up'!$F$4,$V9-4,0)))</f>
        <v>RMI</v>
      </c>
      <c r="H9" s="216">
        <f ca="1">IF(ISERROR($V9),"",OFFSET('Smelter Look-up'!$G$4,$V9-4,0))</f>
        <v>0</v>
      </c>
      <c r="I9" s="217" t="str">
        <f ca="1">IF(ISERROR($V9),"",OFFSET('Smelter Look-up'!$H$4,$V9-4,0))</f>
        <v>Laibin</v>
      </c>
      <c r="J9" s="217" t="str">
        <f ca="1">IF(ISERROR($V9),"",OFFSET('Smelter Look-up'!$I$4,$V9-4,0))</f>
        <v>Guangxi Zhuangzu Zizhiqu</v>
      </c>
      <c r="K9" s="268"/>
      <c r="L9" s="268"/>
      <c r="M9" s="268"/>
      <c r="N9" s="268"/>
      <c r="O9" s="268"/>
      <c r="P9" s="218"/>
      <c r="Q9" s="269"/>
      <c r="R9" s="215" t="str">
        <f ca="1">IF(ISERROR($V9),"",OFFSET('Smelter Look-up'!$C$4,$V9-4,0)&amp;"")</f>
        <v>China Tin Group Co., Ltd.</v>
      </c>
      <c r="S9" s="222" t="str">
        <f t="shared" ca="1" si="3"/>
        <v>CN</v>
      </c>
      <c r="T9" s="222" t="str">
        <f ca="1">IF(B9="","",IF(ISERROR(MATCH($J9,SorP!$B$1:$B$6230,0)),"",INDIRECT("'SorP'!$A$"&amp;MATCH($J9,SorP!$B$1:$B$6230,0))))</f>
        <v>CN-GX</v>
      </c>
      <c r="U9" s="238"/>
      <c r="V9" s="270">
        <f>IF(C9="",NA(),MATCH($B9&amp;$C9,'Smelter Look-up'!$J:$J,0))</f>
        <v>395</v>
      </c>
      <c r="W9" s="271"/>
      <c r="X9" s="271">
        <f t="shared" ca="1" si="4"/>
        <v>0</v>
      </c>
      <c r="Y9" s="271"/>
      <c r="Z9" s="271"/>
      <c r="AB9" s="273" t="str">
        <f t="shared" si="5"/>
        <v>TinChina Tin Group Co., Ltd.</v>
      </c>
    </row>
    <row r="10" spans="1:34" s="272" customFormat="1" ht="20.100000000000001" customHeight="1">
      <c r="A10" s="324"/>
      <c r="B10" s="215" t="s">
        <v>1131</v>
      </c>
      <c r="C10" s="219" t="s">
        <v>14025</v>
      </c>
      <c r="D10" s="278"/>
      <c r="E10" s="215" t="str">
        <f ca="1">IF(ISERROR($V10),"",OFFSET('Smelter Look-up'!$D$4,$V10-4,0)&amp;"")</f>
        <v>INDONESIA</v>
      </c>
      <c r="F10" s="215" t="str">
        <f ca="1">IF(ISERROR($V10),"",OFFSET('Smelter Look-up'!$E$4,$V10-4,0))</f>
        <v>CID001482</v>
      </c>
      <c r="G10" s="215" t="str">
        <f ca="1">IF(C10=$X$4,"Enter smelter details",IF(ISERROR($V10),"",OFFSET('Smelter Look-up'!$F$4,$V10-4,0)))</f>
        <v>RMI</v>
      </c>
      <c r="H10" s="216">
        <f ca="1">IF(ISERROR($V10),"",OFFSET('Smelter Look-up'!$G$4,$V10-4,0))</f>
        <v>0</v>
      </c>
      <c r="I10" s="217" t="str">
        <f ca="1">IF(ISERROR($V10),"",OFFSET('Smelter Look-up'!$H$4,$V10-4,0))</f>
        <v>Mentok</v>
      </c>
      <c r="J10" s="217" t="str">
        <f ca="1">IF(ISERROR($V10),"",OFFSET('Smelter Look-up'!$I$4,$V10-4,0))</f>
        <v>Kepulauan Bangka Belitung</v>
      </c>
      <c r="K10" s="268"/>
      <c r="L10" s="268"/>
      <c r="M10" s="268"/>
      <c r="N10" s="268"/>
      <c r="O10" s="268"/>
      <c r="P10" s="218"/>
      <c r="Q10" s="269"/>
      <c r="R10" s="215" t="str">
        <f ca="1">IF(ISERROR($V10),"",OFFSET('Smelter Look-up'!$C$4,$V10-4,0)&amp;"")</f>
        <v>PT Timah Tbk Mentok</v>
      </c>
      <c r="S10" s="222" t="str">
        <f t="shared" ca="1" si="3"/>
        <v>ID</v>
      </c>
      <c r="T10" s="222" t="str">
        <f ca="1">IF(B10="","",IF(ISERROR(MATCH($J10,SorP!$B$1:$B$6230,0)),"",INDIRECT("'SorP'!$A$"&amp;MATCH($J10,SorP!$B$1:$B$6230,0))))</f>
        <v>ID-BB</v>
      </c>
      <c r="U10" s="238"/>
      <c r="V10" s="270">
        <f>IF(C10="",NA(),MATCH($B10&amp;$C10,'Smelter Look-up'!$J:$J,0))</f>
        <v>492</v>
      </c>
      <c r="W10" s="271"/>
      <c r="X10" s="271">
        <f t="shared" ca="1" si="4"/>
        <v>0</v>
      </c>
      <c r="Y10" s="271"/>
      <c r="Z10" s="271"/>
      <c r="AB10" s="273" t="str">
        <f t="shared" si="5"/>
        <v>TinPT Timah Tbk Mentok</v>
      </c>
    </row>
    <row r="11" spans="1:34" s="272" customFormat="1" ht="20.100000000000001" customHeight="1">
      <c r="A11" s="324"/>
      <c r="B11" s="215" t="s">
        <v>1131</v>
      </c>
      <c r="C11" s="219" t="s">
        <v>2562</v>
      </c>
      <c r="D11" s="278"/>
      <c r="E11" s="215" t="str">
        <f ca="1">IF(ISERROR($V11),"",OFFSET('Smelter Look-up'!$D$4,$V11-4,0)&amp;"")</f>
        <v>CHINA</v>
      </c>
      <c r="F11" s="215" t="str">
        <f ca="1">IF(ISERROR($V11),"",OFFSET('Smelter Look-up'!$E$4,$V11-4,0))</f>
        <v>CID003116</v>
      </c>
      <c r="G11" s="215" t="str">
        <f ca="1">IF(C11=$X$4,"Enter smelter details",IF(ISERROR($V11),"",OFFSET('Smelter Look-up'!$F$4,$V11-4,0)))</f>
        <v>RMI</v>
      </c>
      <c r="H11" s="216">
        <f ca="1">IF(ISERROR($V11),"",OFFSET('Smelter Look-up'!$G$4,$V11-4,0))</f>
        <v>0</v>
      </c>
      <c r="I11" s="217" t="str">
        <f ca="1">IF(ISERROR($V11),"",OFFSET('Smelter Look-up'!$H$4,$V11-4,0))</f>
        <v>Chaozhou</v>
      </c>
      <c r="J11" s="217" t="str">
        <f ca="1">IF(ISERROR($V11),"",OFFSET('Smelter Look-up'!$I$4,$V11-4,0))</f>
        <v>Guangdong Sheng</v>
      </c>
      <c r="K11" s="268"/>
      <c r="L11" s="268"/>
      <c r="M11" s="268"/>
      <c r="N11" s="268"/>
      <c r="O11" s="268"/>
      <c r="P11" s="218"/>
      <c r="Q11" s="269"/>
      <c r="R11" s="215" t="str">
        <f ca="1">IF(ISERROR($V11),"",OFFSET('Smelter Look-up'!$C$4,$V11-4,0)&amp;"")</f>
        <v>Guangdong Hanhe Non-Ferrous Metal Co., Ltd.</v>
      </c>
      <c r="S11" s="222" t="str">
        <f t="shared" ca="1" si="3"/>
        <v>CN</v>
      </c>
      <c r="T11" s="222" t="str">
        <f ca="1">IF(B11="","",IF(ISERROR(MATCH($J11,SorP!$B$1:$B$6230,0)),"",INDIRECT("'SorP'!$A$"&amp;MATCH($J11,SorP!$B$1:$B$6230,0))))</f>
        <v>CN-GD</v>
      </c>
      <c r="U11" s="238"/>
      <c r="V11" s="270">
        <f>IF(C11="",NA(),MATCH($B11&amp;$C11,'Smelter Look-up'!$J:$J,0))</f>
        <v>434</v>
      </c>
      <c r="W11" s="271"/>
      <c r="X11" s="271">
        <f t="shared" ca="1" si="4"/>
        <v>0</v>
      </c>
      <c r="Y11" s="271"/>
      <c r="Z11" s="271"/>
      <c r="AB11" s="273" t="str">
        <f t="shared" si="5"/>
        <v>TinGuangdong Hanhe Non-Ferrous Metal Co., Ltd.</v>
      </c>
    </row>
    <row r="12" spans="1:34" s="272" customFormat="1" ht="20.100000000000001" customHeight="1">
      <c r="A12" s="324"/>
      <c r="B12" s="215" t="s">
        <v>1131</v>
      </c>
      <c r="C12" s="219" t="s">
        <v>1031</v>
      </c>
      <c r="D12" s="278"/>
      <c r="E12" s="215" t="str">
        <f ca="1">IF(ISERROR($V12),"",OFFSET('Smelter Look-up'!$D$4,$V12-4,0)&amp;"")</f>
        <v>THAILAND</v>
      </c>
      <c r="F12" s="215" t="str">
        <f ca="1">IF(ISERROR($V12),"",OFFSET('Smelter Look-up'!$E$4,$V12-4,0))</f>
        <v>CID001898</v>
      </c>
      <c r="G12" s="215" t="str">
        <f ca="1">IF(C12=$X$4,"Enter smelter details",IF(ISERROR($V12),"",OFFSET('Smelter Look-up'!$F$4,$V12-4,0)))</f>
        <v>RMI</v>
      </c>
      <c r="H12" s="216">
        <f ca="1">IF(ISERROR($V12),"",OFFSET('Smelter Look-up'!$G$4,$V12-4,0))</f>
        <v>0</v>
      </c>
      <c r="I12" s="217" t="str">
        <f ca="1">IF(ISERROR($V12),"",OFFSET('Smelter Look-up'!$H$4,$V12-4,0))</f>
        <v>Amphur Muang</v>
      </c>
      <c r="J12" s="217" t="str">
        <f ca="1">IF(ISERROR($V12),"",OFFSET('Smelter Look-up'!$I$4,$V12-4,0))</f>
        <v>Phuket</v>
      </c>
      <c r="K12" s="268"/>
      <c r="L12" s="268"/>
      <c r="M12" s="268"/>
      <c r="N12" s="268"/>
      <c r="O12" s="268"/>
      <c r="P12" s="218"/>
      <c r="Q12" s="269"/>
      <c r="R12" s="215" t="str">
        <f ca="1">IF(ISERROR($V12),"",OFFSET('Smelter Look-up'!$C$4,$V12-4,0)&amp;"")</f>
        <v>Thaisarco</v>
      </c>
      <c r="S12" s="222" t="str">
        <f t="shared" ca="1" si="3"/>
        <v>TH</v>
      </c>
      <c r="T12" s="222" t="str">
        <f ca="1">IF(B12="","",IF(ISERROR(MATCH($J12,SorP!$B$1:$B$6230,0)),"",INDIRECT("'SorP'!$A$"&amp;MATCH($J12,SorP!$B$1:$B$6230,0))))</f>
        <v>TH-83</v>
      </c>
      <c r="U12" s="238"/>
      <c r="V12" s="270">
        <f>IF(C12="",NA(),MATCH($B12&amp;$C12,'Smelter Look-up'!$J:$J,0))</f>
        <v>504</v>
      </c>
      <c r="W12" s="271"/>
      <c r="X12" s="271">
        <f t="shared" ca="1" si="4"/>
        <v>0</v>
      </c>
      <c r="Y12" s="271"/>
      <c r="Z12" s="271"/>
      <c r="AB12" s="273" t="str">
        <f t="shared" si="5"/>
        <v>TinThaisarco</v>
      </c>
    </row>
    <row r="13" spans="1:34" s="272" customFormat="1" ht="20.100000000000001" customHeight="1">
      <c r="A13" s="324"/>
      <c r="B13" s="215" t="s">
        <v>1131</v>
      </c>
      <c r="C13" s="219" t="s">
        <v>14026</v>
      </c>
      <c r="D13" s="278"/>
      <c r="E13" s="215" t="str">
        <f ca="1">IF(ISERROR($V13),"",OFFSET('Smelter Look-up'!$D$4,$V13-4,0)&amp;"")</f>
        <v>INDONESIA</v>
      </c>
      <c r="F13" s="215" t="str">
        <f ca="1">IF(ISERROR($V13),"",OFFSET('Smelter Look-up'!$E$4,$V13-4,0))</f>
        <v>CID001477</v>
      </c>
      <c r="G13" s="215" t="str">
        <f ca="1">IF(C13=$X$4,"Enter smelter details",IF(ISERROR($V13),"",OFFSET('Smelter Look-up'!$F$4,$V13-4,0)))</f>
        <v>RMI</v>
      </c>
      <c r="H13" s="216">
        <f ca="1">IF(ISERROR($V13),"",OFFSET('Smelter Look-up'!$G$4,$V13-4,0))</f>
        <v>0</v>
      </c>
      <c r="I13" s="217" t="str">
        <f ca="1">IF(ISERROR($V13),"",OFFSET('Smelter Look-up'!$H$4,$V13-4,0))</f>
        <v>Kundur</v>
      </c>
      <c r="J13" s="217" t="str">
        <f ca="1">IF(ISERROR($V13),"",OFFSET('Smelter Look-up'!$I$4,$V13-4,0))</f>
        <v>Riau</v>
      </c>
      <c r="K13" s="268"/>
      <c r="L13" s="268"/>
      <c r="M13" s="268"/>
      <c r="N13" s="268"/>
      <c r="O13" s="268"/>
      <c r="P13" s="218"/>
      <c r="Q13" s="269"/>
      <c r="R13" s="215" t="str">
        <f ca="1">IF(ISERROR($V13),"",OFFSET('Smelter Look-up'!$C$4,$V13-4,0)&amp;"")</f>
        <v>PT Timah Tbk Kundur</v>
      </c>
      <c r="S13" s="222" t="str">
        <f t="shared" ca="1" si="3"/>
        <v>ID</v>
      </c>
      <c r="T13" s="222" t="str">
        <f ca="1">IF(B13="","",IF(ISERROR(MATCH($J13,SorP!$B$1:$B$6230,0)),"",INDIRECT("'SorP'!$A$"&amp;MATCH($J13,SorP!$B$1:$B$6230,0))))</f>
        <v>ID-RI</v>
      </c>
      <c r="U13" s="238"/>
      <c r="V13" s="270">
        <f>IF(C13="",NA(),MATCH($B13&amp;$C13,'Smelter Look-up'!$J:$J,0))</f>
        <v>491</v>
      </c>
      <c r="W13" s="271"/>
      <c r="X13" s="271">
        <f t="shared" ca="1" si="4"/>
        <v>0</v>
      </c>
      <c r="Y13" s="271"/>
      <c r="Z13" s="271"/>
      <c r="AB13" s="273" t="str">
        <f t="shared" si="5"/>
        <v>TinPT Timah Tbk Kundur</v>
      </c>
    </row>
    <row r="14" spans="1:34" s="272" customFormat="1" ht="20.100000000000001" customHeight="1">
      <c r="A14" s="324"/>
      <c r="B14" s="215" t="s">
        <v>1131</v>
      </c>
      <c r="C14" s="219" t="s">
        <v>13149</v>
      </c>
      <c r="D14" s="278"/>
      <c r="E14" s="215" t="str">
        <f ca="1">IF(ISERROR($V14),"",OFFSET('Smelter Look-up'!$D$4,$V14-4,0)&amp;"")</f>
        <v>BELGIUM</v>
      </c>
      <c r="F14" s="215" t="str">
        <f ca="1">IF(ISERROR($V14),"",OFFSET('Smelter Look-up'!$E$4,$V14-4,0))</f>
        <v>CID002773</v>
      </c>
      <c r="G14" s="215" t="str">
        <f ca="1">IF(C14=$X$4,"Enter smelter details",IF(ISERROR($V14),"",OFFSET('Smelter Look-up'!$F$4,$V14-4,0)))</f>
        <v>RMI</v>
      </c>
      <c r="H14" s="216">
        <f ca="1">IF(ISERROR($V14),"",OFFSET('Smelter Look-up'!$G$4,$V14-4,0))</f>
        <v>0</v>
      </c>
      <c r="I14" s="217" t="str">
        <f ca="1">IF(ISERROR($V14),"",OFFSET('Smelter Look-up'!$H$4,$V14-4,0))</f>
        <v>Beerse</v>
      </c>
      <c r="J14" s="217" t="str">
        <f ca="1">IF(ISERROR($V14),"",OFFSET('Smelter Look-up'!$I$4,$V14-4,0))</f>
        <v>Antwerpen</v>
      </c>
      <c r="K14" s="268"/>
      <c r="L14" s="268"/>
      <c r="M14" s="268"/>
      <c r="N14" s="268"/>
      <c r="O14" s="268"/>
      <c r="P14" s="218"/>
      <c r="Q14" s="269"/>
      <c r="R14" s="215" t="str">
        <f ca="1">IF(ISERROR($V14),"",OFFSET('Smelter Look-up'!$C$4,$V14-4,0)&amp;"")</f>
        <v>Metallo Belgium N.V.</v>
      </c>
      <c r="S14" s="222" t="str">
        <f t="shared" ca="1" si="3"/>
        <v>BE</v>
      </c>
      <c r="T14" s="222" t="str">
        <f ca="1">IF(B14="","",IF(ISERROR(MATCH($J14,SorP!$B$1:$B$6230,0)),"",INDIRECT("'SorP'!$A$"&amp;MATCH($J14,SorP!$B$1:$B$6230,0))))</f>
        <v>BE-VAN</v>
      </c>
      <c r="U14" s="238"/>
      <c r="V14" s="270">
        <f>IF(C14="",NA(),MATCH($B14&amp;$C14,'Smelter Look-up'!$J:$J,0))</f>
        <v>454</v>
      </c>
      <c r="W14" s="271"/>
      <c r="X14" s="271">
        <f t="shared" ca="1" si="4"/>
        <v>0</v>
      </c>
      <c r="Y14" s="271"/>
      <c r="Z14" s="271"/>
      <c r="AB14" s="273" t="str">
        <f t="shared" si="5"/>
        <v>TinMetallo Belgium N.V.</v>
      </c>
    </row>
    <row r="15" spans="1:34" s="272" customFormat="1" ht="20.100000000000001" customHeight="1">
      <c r="A15" s="324"/>
      <c r="B15" s="215" t="s">
        <v>1131</v>
      </c>
      <c r="C15" s="219" t="s">
        <v>2566</v>
      </c>
      <c r="D15" s="278"/>
      <c r="E15" s="215" t="str">
        <f ca="1">IF(ISERROR($V15),"",OFFSET('Smelter Look-up'!$D$4,$V15-4,0)&amp;"")</f>
        <v>BRAZIL</v>
      </c>
      <c r="F15" s="215" t="str">
        <f ca="1">IF(ISERROR($V15),"",OFFSET('Smelter Look-up'!$E$4,$V15-4,0))</f>
        <v>CID002036</v>
      </c>
      <c r="G15" s="215" t="str">
        <f ca="1">IF(C15=$X$4,"Enter smelter details",IF(ISERROR($V15),"",OFFSET('Smelter Look-up'!$F$4,$V15-4,0)))</f>
        <v>RMI</v>
      </c>
      <c r="H15" s="216">
        <f ca="1">IF(ISERROR($V15),"",OFFSET('Smelter Look-up'!$G$4,$V15-4,0))</f>
        <v>0</v>
      </c>
      <c r="I15" s="217" t="str">
        <f ca="1">IF(ISERROR($V15),"",OFFSET('Smelter Look-up'!$H$4,$V15-4,0))</f>
        <v>Ariquemes</v>
      </c>
      <c r="J15" s="217" t="str">
        <f ca="1">IF(ISERROR($V15),"",OFFSET('Smelter Look-up'!$I$4,$V15-4,0))</f>
        <v>Rondônia</v>
      </c>
      <c r="K15" s="268"/>
      <c r="L15" s="268"/>
      <c r="M15" s="268"/>
      <c r="N15" s="268"/>
      <c r="O15" s="268"/>
      <c r="P15" s="218"/>
      <c r="Q15" s="269"/>
      <c r="R15" s="215" t="str">
        <f ca="1">IF(ISERROR($V15),"",OFFSET('Smelter Look-up'!$C$4,$V15-4,0)&amp;"")</f>
        <v>White Solder Metalurgia e Mineracao Ltda.</v>
      </c>
      <c r="S15" s="222" t="str">
        <f t="shared" ca="1" si="3"/>
        <v>BR</v>
      </c>
      <c r="T15" s="222" t="str">
        <f ca="1">IF(B15="","",IF(ISERROR(MATCH($J15,SorP!$B$1:$B$6230,0)),"",INDIRECT("'SorP'!$A$"&amp;MATCH($J15,SorP!$B$1:$B$6230,0))))</f>
        <v>BR-RO</v>
      </c>
      <c r="U15" s="238"/>
      <c r="V15" s="270">
        <f>IF(C15="",NA(),MATCH($B15&amp;$C15,'Smelter Look-up'!$J:$J,0))</f>
        <v>512</v>
      </c>
      <c r="W15" s="271"/>
      <c r="X15" s="271">
        <f t="shared" ca="1" si="4"/>
        <v>0</v>
      </c>
      <c r="Y15" s="271"/>
      <c r="Z15" s="271"/>
      <c r="AB15" s="273" t="str">
        <f t="shared" si="5"/>
        <v>TinWhite Solder Metalurgia e Mineracao Ltda.</v>
      </c>
    </row>
    <row r="16" spans="1:34" s="272" customFormat="1" ht="20.100000000000001" customHeight="1">
      <c r="A16" s="324"/>
      <c r="B16" s="215" t="s">
        <v>1131</v>
      </c>
      <c r="C16" s="219" t="s">
        <v>13402</v>
      </c>
      <c r="D16" s="278"/>
      <c r="E16" s="215" t="str">
        <f ca="1">IF(ISERROR($V16),"",OFFSET('Smelter Look-up'!$D$4,$V16-4,0)&amp;"")</f>
        <v>UNITED STATES OF AMERICA</v>
      </c>
      <c r="F16" s="215" t="str">
        <f ca="1">IF(ISERROR($V16),"",OFFSET('Smelter Look-up'!$E$4,$V16-4,0))</f>
        <v>CID003325</v>
      </c>
      <c r="G16" s="215" t="str">
        <f ca="1">IF(C16=$X$4,"Enter smelter details",IF(ISERROR($V16),"",OFFSET('Smelter Look-up'!$F$4,$V16-4,0)))</f>
        <v>RMI</v>
      </c>
      <c r="H16" s="216">
        <f ca="1">IF(ISERROR($V16),"",OFFSET('Smelter Look-up'!$G$4,$V16-4,0))</f>
        <v>0</v>
      </c>
      <c r="I16" s="217" t="str">
        <f ca="1">IF(ISERROR($V16),"",OFFSET('Smelter Look-up'!$H$4,$V16-4,0))</f>
        <v>West Chester</v>
      </c>
      <c r="J16" s="217" t="str">
        <f ca="1">IF(ISERROR($V16),"",OFFSET('Smelter Look-up'!$I$4,$V16-4,0))</f>
        <v>Pennsylvania</v>
      </c>
      <c r="K16" s="268"/>
      <c r="L16" s="268"/>
      <c r="M16" s="268"/>
      <c r="N16" s="268"/>
      <c r="O16" s="268"/>
      <c r="P16" s="218"/>
      <c r="Q16" s="269"/>
      <c r="R16" s="215" t="str">
        <f ca="1">IF(ISERROR($V16),"",OFFSET('Smelter Look-up'!$C$4,$V16-4,0)&amp;"")</f>
        <v>Tin Technology &amp; Refining</v>
      </c>
      <c r="S16" s="222" t="str">
        <f t="shared" ca="1" si="3"/>
        <v>US</v>
      </c>
      <c r="T16" s="222" t="str">
        <f ca="1">IF(B16="","",IF(ISERROR(MATCH($J16,SorP!$B$1:$B$6230,0)),"",INDIRECT("'SorP'!$A$"&amp;MATCH($J16,SorP!$B$1:$B$6230,0))))</f>
        <v>US-PA</v>
      </c>
      <c r="U16" s="238"/>
      <c r="V16" s="270">
        <f>IF(C16="",NA(),MATCH($B16&amp;$C16,'Smelter Look-up'!$J:$J,0))</f>
        <v>507</v>
      </c>
      <c r="W16" s="271"/>
      <c r="X16" s="271">
        <f t="shared" ca="1" si="4"/>
        <v>0</v>
      </c>
      <c r="Y16" s="271"/>
      <c r="Z16" s="271"/>
      <c r="AB16" s="273" t="str">
        <f t="shared" si="5"/>
        <v>TinTin Technology &amp; Refining</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AMITRON CORPORATION</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CHARLIE SAVALIYA</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csavaliya@amitroncorp.com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847-290-9800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CHARLIE SAVALIYA</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csavaliya@amitroncorp.com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44411</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Yes</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Yes</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9"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30">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8.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4.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6.5">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ht="16.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ht="16.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ht="16.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ht="16.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31">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47.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8.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9.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8.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infopath/2007/PartnerControls"/>
    <ds:schemaRef ds:uri="http://purl.org/dc/terms/"/>
    <ds:schemaRef ds:uri="http://schemas.microsoft.com/office/2006/documentManagement/types"/>
    <ds:schemaRef ds:uri="http://www.w3.org/XML/1998/namespace"/>
    <ds:schemaRef ds:uri="http://purl.org/dc/elements/1.1/"/>
    <ds:schemaRef ds:uri="http://schemas.openxmlformats.org/package/2006/metadata/core-properties"/>
    <ds:schemaRef ds:uri="060324a1-f66f-4c36-a8ec-beadbf2f4219"/>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charlie</cp:lastModifiedBy>
  <cp:lastPrinted>2015-04-21T20:47:43Z</cp:lastPrinted>
  <dcterms:created xsi:type="dcterms:W3CDTF">2010-06-21T21:00:23Z</dcterms:created>
  <dcterms:modified xsi:type="dcterms:W3CDTF">2021-08-16T15:56:42Z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